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290" windowWidth="15360" windowHeight="8985" tabRatio="598" activeTab="0"/>
  </bookViews>
  <sheets>
    <sheet name="BHsequencial" sheetId="1" r:id="rId1"/>
    <sheet name="Instruções" sheetId="2" r:id="rId2"/>
    <sheet name="anexo" sheetId="3" r:id="rId3"/>
  </sheets>
  <definedNames>
    <definedName name="cad1">'BHsequencial'!$CQ$10</definedName>
    <definedName name="cad2">'BHsequencial'!#REF!</definedName>
    <definedName name="cadm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<sst xmlns="http://schemas.openxmlformats.org/spreadsheetml/2006/main" count="161" uniqueCount="112">
  <si>
    <t>Balanço Hídrico Sequencial por Thornthwaite &amp; Mather (1955)</t>
  </si>
  <si>
    <t>CIDADE</t>
  </si>
  <si>
    <t>LATITUDE</t>
  </si>
  <si>
    <t>Arm do período anterior</t>
  </si>
  <si>
    <t>ANO</t>
  </si>
  <si>
    <t>CAD</t>
  </si>
  <si>
    <t>I=</t>
  </si>
  <si>
    <t xml:space="preserve"> </t>
  </si>
  <si>
    <t>I384</t>
  </si>
  <si>
    <t>a=</t>
  </si>
  <si>
    <t>Área reservada para novas fórmulas</t>
  </si>
  <si>
    <t>Tempo</t>
  </si>
  <si>
    <t>Num de</t>
  </si>
  <si>
    <t>T</t>
  </si>
  <si>
    <t>P</t>
  </si>
  <si>
    <t>N</t>
  </si>
  <si>
    <t>ETP</t>
  </si>
  <si>
    <t>P-ETP</t>
  </si>
  <si>
    <t>NEG-AC</t>
  </si>
  <si>
    <t>ARM</t>
  </si>
  <si>
    <t>ALT</t>
  </si>
  <si>
    <t>ETR</t>
  </si>
  <si>
    <t>DEF</t>
  </si>
  <si>
    <t>EXC</t>
  </si>
  <si>
    <t>Latitude   =</t>
  </si>
  <si>
    <t xml:space="preserve">             Controle lógico</t>
  </si>
  <si>
    <t>co1</t>
  </si>
  <si>
    <t>vlr</t>
  </si>
  <si>
    <r>
      <t>S</t>
    </r>
    <r>
      <rPr>
        <sz val="9"/>
        <color indexed="8"/>
        <rFont val="Arial"/>
        <family val="2"/>
      </rPr>
      <t>P-ETP</t>
    </r>
  </si>
  <si>
    <t>Dias</t>
  </si>
  <si>
    <t>mm</t>
  </si>
  <si>
    <t>horas</t>
  </si>
  <si>
    <t>Thornthwaite1948</t>
  </si>
  <si>
    <t>NDA</t>
  </si>
  <si>
    <t>d</t>
  </si>
  <si>
    <t>hn</t>
  </si>
  <si>
    <t>ini</t>
  </si>
  <si>
    <t>Logico</t>
  </si>
  <si>
    <t>ncom</t>
  </si>
  <si>
    <t>com</t>
  </si>
  <si>
    <t>TOTAIS</t>
  </si>
  <si>
    <t>MÉDIAS</t>
  </si>
  <si>
    <t>Gráfico</t>
  </si>
  <si>
    <t>DEF(-1)</t>
  </si>
  <si>
    <t>BHseq V4.0 1998</t>
  </si>
  <si>
    <t>Glauco de Souza Rolim</t>
  </si>
  <si>
    <t>Essas células fazem parte da lógica do programa, não modifique-as de forma alguma</t>
  </si>
  <si>
    <t>Paulo Cesar Sentelhas</t>
  </si>
  <si>
    <t>gráfico</t>
  </si>
  <si>
    <t>Thornthwaite 1948</t>
  </si>
  <si>
    <t>Instruções Gerais</t>
  </si>
  <si>
    <r>
      <t xml:space="preserve">1 </t>
    </r>
    <r>
      <rPr>
        <b/>
        <sz val="10"/>
        <color indexed="39"/>
        <rFont val="Arial"/>
        <family val="2"/>
      </rPr>
      <t>Bhsequencial</t>
    </r>
    <r>
      <rPr>
        <b/>
        <sz val="10"/>
        <rFont val="Arial"/>
        <family val="0"/>
      </rPr>
      <t xml:space="preserve">: que realiza cálculos sequenciais para qualquer unidade de tempo e </t>
    </r>
  </si>
  <si>
    <t>possui a disponibilidade de mudança de número de linhas (ler abaixo).</t>
  </si>
  <si>
    <t xml:space="preserve">1.GERAL                                                                                                                                 </t>
  </si>
  <si>
    <r>
      <t xml:space="preserve">As células enquadradas e com </t>
    </r>
    <r>
      <rPr>
        <b/>
        <sz val="10"/>
        <color indexed="17"/>
        <rFont val="Arial"/>
        <family val="2"/>
      </rPr>
      <t>coloração diferente</t>
    </r>
    <r>
      <rPr>
        <b/>
        <sz val="10"/>
        <rFont val="Arial"/>
        <family val="0"/>
      </rPr>
      <t>, poderão ser modificadas pelo usuário</t>
    </r>
  </si>
  <si>
    <t>, poderão ser modificadas pelo usuário</t>
  </si>
  <si>
    <r>
      <t xml:space="preserve">No fim da planilha </t>
    </r>
    <r>
      <rPr>
        <b/>
        <sz val="10"/>
        <color indexed="39"/>
        <rFont val="Arial"/>
        <family val="2"/>
      </rPr>
      <t>BHsequencial</t>
    </r>
    <r>
      <rPr>
        <b/>
        <sz val="10"/>
        <rFont val="Arial"/>
        <family val="0"/>
      </rPr>
      <t>, deve-se digitar "</t>
    </r>
    <r>
      <rPr>
        <b/>
        <sz val="10"/>
        <color indexed="10"/>
        <rFont val="Arial"/>
        <family val="2"/>
      </rPr>
      <t>fim</t>
    </r>
    <r>
      <rPr>
        <b/>
        <sz val="10"/>
        <rFont val="Arial"/>
        <family val="0"/>
      </rPr>
      <t>" na coluna do tempo, se sobrar linhas.</t>
    </r>
  </si>
  <si>
    <r>
      <t xml:space="preserve">Se não for colocado um novo valor para o </t>
    </r>
    <r>
      <rPr>
        <b/>
        <i/>
        <sz val="10"/>
        <rFont val="Arial"/>
        <family val="0"/>
      </rPr>
      <t>Armazenamento do período anterior</t>
    </r>
    <r>
      <rPr>
        <b/>
        <sz val="10"/>
        <rFont val="Arial"/>
        <family val="0"/>
      </rPr>
      <t>, este ficará igual ao valor da CAD.</t>
    </r>
  </si>
  <si>
    <t xml:space="preserve">3.METODOLOGIA DE ETP                                                                                                              </t>
  </si>
  <si>
    <r>
      <t xml:space="preserve">A metodologia do cálculo da </t>
    </r>
    <r>
      <rPr>
        <b/>
        <sz val="10"/>
        <color indexed="10"/>
        <rFont val="Arial"/>
        <family val="2"/>
      </rPr>
      <t>ETP</t>
    </r>
    <r>
      <rPr>
        <b/>
        <sz val="10"/>
        <rFont val="Arial"/>
        <family val="0"/>
      </rPr>
      <t xml:space="preserve"> poderá ser mudada pelo usuário como desejar;</t>
    </r>
  </si>
  <si>
    <t xml:space="preserve">OBS: Se o usuário for utilizar a metodologia de Thornthwaite(1948) (padrão do programa) </t>
  </si>
  <si>
    <r>
      <t>e não possuir os valores de</t>
    </r>
    <r>
      <rPr>
        <b/>
        <sz val="10"/>
        <color indexed="10"/>
        <rFont val="Arial"/>
        <family val="2"/>
      </rPr>
      <t xml:space="preserve"> I </t>
    </r>
    <r>
      <rPr>
        <b/>
        <sz val="10"/>
        <color indexed="8"/>
        <rFont val="Arial"/>
        <family val="2"/>
      </rPr>
      <t xml:space="preserve">e </t>
    </r>
    <r>
      <rPr>
        <b/>
        <sz val="10"/>
        <color indexed="10"/>
        <rFont val="Arial"/>
        <family val="2"/>
      </rPr>
      <t xml:space="preserve">a </t>
    </r>
    <r>
      <rPr>
        <b/>
        <sz val="10"/>
        <color indexed="8"/>
        <rFont val="Arial"/>
        <family val="2"/>
      </rPr>
      <t>ele deverá obtê-los através do programa que realiza os cálculos</t>
    </r>
  </si>
  <si>
    <t xml:space="preserve">4.FOTOPERÍODO                                                                                                           </t>
  </si>
  <si>
    <t>O cálculo do fotoperíodo está na área reservada para novas fórmulas para, se houver necessidade,</t>
  </si>
  <si>
    <t>a mudança das mesmas.</t>
  </si>
  <si>
    <t>Fim da página</t>
  </si>
  <si>
    <t>Referência:</t>
  </si>
  <si>
    <r>
      <t xml:space="preserve">ROLIM,G.S.,SENTELHAS,P.C.,BARBIERI, V.Planilhas no ambiente EXCEL </t>
    </r>
    <r>
      <rPr>
        <vertAlign val="superscript"/>
        <sz val="8"/>
        <rFont val="Arial"/>
        <family val="2"/>
      </rPr>
      <t>TM</t>
    </r>
    <r>
      <rPr>
        <sz val="8"/>
        <rFont val="Arial"/>
        <family val="2"/>
      </rPr>
      <t xml:space="preserve"> para os cálculos de balanços hídricos:normal,sequencial,de cultura e de produtividade real e potencial.</t>
    </r>
    <r>
      <rPr>
        <b/>
        <sz val="8"/>
        <rFont val="Arial"/>
        <family val="2"/>
      </rPr>
      <t>Revista Brasileira de Agrometeorologia</t>
    </r>
    <r>
      <rPr>
        <sz val="8"/>
        <rFont val="Arial"/>
        <family val="2"/>
      </rPr>
      <t>,Santa Maria,v. 6,n.1,p133-137,1998.</t>
    </r>
  </si>
  <si>
    <t>(mm)</t>
  </si>
  <si>
    <t>RET</t>
  </si>
  <si>
    <t>REP</t>
  </si>
  <si>
    <t>Número de Linhas</t>
  </si>
  <si>
    <t>Neg-Acum do período anterior</t>
  </si>
  <si>
    <r>
      <t xml:space="preserve">2 </t>
    </r>
    <r>
      <rPr>
        <b/>
        <sz val="10"/>
        <color indexed="39"/>
        <rFont val="Arial"/>
        <family val="2"/>
      </rPr>
      <t>Instruções</t>
    </r>
  </si>
  <si>
    <t>2. Ajuste do número de linhas</t>
  </si>
  <si>
    <t xml:space="preserve">         Isto torna o ajuste dos gráficos também automático.</t>
  </si>
  <si>
    <t>Departamento de Ciências Exatas  Área de Física e Meteorologia</t>
  </si>
  <si>
    <t xml:space="preserve">            DCE - ESALQ / USP</t>
  </si>
  <si>
    <t xml:space="preserve">         O usuário poderá modificá-las como desejar.</t>
  </si>
  <si>
    <r>
      <t>OBS1</t>
    </r>
    <r>
      <rPr>
        <b/>
        <sz val="10"/>
        <rFont val="Arial"/>
        <family val="2"/>
      </rPr>
      <t>: As áreas de dados dos gráficos estão selecionadas com uma linha a mais.</t>
    </r>
  </si>
  <si>
    <r>
      <t>Se não for utilizar esse parâmetro digitar "</t>
    </r>
    <r>
      <rPr>
        <b/>
        <sz val="10"/>
        <rFont val="Arial"/>
        <family val="2"/>
      </rPr>
      <t xml:space="preserve"> =</t>
    </r>
    <r>
      <rPr>
        <sz val="10"/>
        <rFont val="Arial"/>
        <family val="2"/>
      </rPr>
      <t xml:space="preserve"> " </t>
    </r>
    <r>
      <rPr>
        <b/>
        <sz val="10"/>
        <rFont val="Arial"/>
        <family val="2"/>
      </rPr>
      <t>( Igual )</t>
    </r>
  </si>
  <si>
    <r>
      <t>o</t>
    </r>
    <r>
      <rPr>
        <sz val="12"/>
        <color indexed="32"/>
        <rFont val="Arial"/>
        <family val="2"/>
      </rPr>
      <t>C</t>
    </r>
  </si>
  <si>
    <t>NDA inicial</t>
  </si>
  <si>
    <t>coloração diferente, poderão ser modificadas pelo usuário</t>
  </si>
  <si>
    <t>1º Digitar o número de linhas desejado na célula I15  2º Clicar no botão para o ajuste</t>
  </si>
  <si>
    <t>As opções de Tela inteira e Tela normal poderão ser acessadas por CTRL-f e CTRL-e respectivamente.</t>
  </si>
  <si>
    <r>
      <t xml:space="preserve">Se o usuário necessitar de mais espaço, além da </t>
    </r>
    <r>
      <rPr>
        <b/>
        <sz val="10"/>
        <color indexed="18"/>
        <rFont val="Arial"/>
        <family val="2"/>
      </rPr>
      <t>área reservada para novas fórmulas</t>
    </r>
    <r>
      <rPr>
        <b/>
        <sz val="10"/>
        <rFont val="Arial"/>
        <family val="2"/>
      </rPr>
      <t>,</t>
    </r>
  </si>
  <si>
    <t xml:space="preserve">  use a planilha ANEXO e depois cole ou vincule os dados para a coluna da ETP (H19).</t>
  </si>
  <si>
    <r>
      <t xml:space="preserve">do </t>
    </r>
    <r>
      <rPr>
        <b/>
        <u val="single"/>
        <sz val="10"/>
        <color indexed="8"/>
        <rFont val="Arial"/>
        <family val="2"/>
      </rPr>
      <t>BH normal mensal</t>
    </r>
    <r>
      <rPr>
        <b/>
        <sz val="10"/>
        <color indexed="8"/>
        <rFont val="Arial"/>
        <family val="2"/>
      </rPr>
      <t xml:space="preserve"> (Bhnorm.xls células j19 e j20 respectivamente).</t>
    </r>
  </si>
  <si>
    <r>
      <t xml:space="preserve">Os </t>
    </r>
    <r>
      <rPr>
        <b/>
        <sz val="10"/>
        <color indexed="10"/>
        <rFont val="Arial"/>
        <family val="2"/>
      </rPr>
      <t>dados</t>
    </r>
    <r>
      <rPr>
        <b/>
        <sz val="10"/>
        <rFont val="Arial"/>
        <family val="0"/>
      </rPr>
      <t xml:space="preserve"> de </t>
    </r>
    <r>
      <rPr>
        <b/>
        <sz val="10"/>
        <color indexed="18"/>
        <rFont val="Arial"/>
        <family val="2"/>
      </rPr>
      <t>LATITUDE</t>
    </r>
    <r>
      <rPr>
        <b/>
        <sz val="10"/>
        <rFont val="Arial"/>
        <family val="0"/>
      </rPr>
      <t xml:space="preserve"> devem ser em graus e (</t>
    </r>
    <r>
      <rPr>
        <b/>
        <sz val="12"/>
        <rFont val="Arial"/>
        <family val="2"/>
      </rPr>
      <t>-</t>
    </r>
    <r>
      <rPr>
        <b/>
        <sz val="10"/>
        <rFont val="Arial"/>
        <family val="0"/>
      </rPr>
      <t>) p/ Hemisf. Sul e (</t>
    </r>
    <r>
      <rPr>
        <b/>
        <sz val="12"/>
        <rFont val="Arial"/>
        <family val="2"/>
      </rPr>
      <t>+</t>
    </r>
    <r>
      <rPr>
        <b/>
        <sz val="10"/>
        <rFont val="Arial"/>
        <family val="0"/>
      </rPr>
      <t>) p/ Hemisf. Norte</t>
    </r>
  </si>
  <si>
    <r>
      <t>CAD</t>
    </r>
    <r>
      <rPr>
        <b/>
        <sz val="10"/>
        <rFont val="Arial"/>
        <family val="0"/>
      </rPr>
      <t xml:space="preserve"> em milímetros e </t>
    </r>
    <r>
      <rPr>
        <b/>
        <sz val="10"/>
        <color indexed="18"/>
        <rFont val="Arial"/>
        <family val="2"/>
      </rPr>
      <t>NDA</t>
    </r>
    <r>
      <rPr>
        <b/>
        <sz val="10"/>
        <rFont val="Arial"/>
        <family val="0"/>
      </rPr>
      <t xml:space="preserve"> (número do dia do ano) entre 1 e 365.</t>
    </r>
  </si>
  <si>
    <t>Esta pasta (programa) contém 3 planilhas :</t>
  </si>
  <si>
    <r>
      <t>3</t>
    </r>
    <r>
      <rPr>
        <b/>
        <sz val="10"/>
        <color indexed="3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anexo</t>
    </r>
  </si>
  <si>
    <t>±</t>
  </si>
  <si>
    <t xml:space="preserve">    ARMx100</t>
  </si>
  <si>
    <t>BHseq V6.4 2001</t>
  </si>
  <si>
    <t>OBS Importante:</t>
  </si>
  <si>
    <t>A opção Iteração (Menu Ferramentas/ Opções / Guia "Cálculos") deve estar selecionada</t>
  </si>
  <si>
    <t>"Alteração Máxima"=0,001)</t>
  </si>
  <si>
    <t>para que o programa funcione. (É recomendável que as opções "nº máximo de iterações"=100 e</t>
  </si>
  <si>
    <t>Mês</t>
  </si>
  <si>
    <t>J</t>
  </si>
  <si>
    <t>F</t>
  </si>
  <si>
    <t>M</t>
  </si>
  <si>
    <t>A</t>
  </si>
  <si>
    <t>S</t>
  </si>
  <si>
    <t>O</t>
  </si>
  <si>
    <t>D</t>
  </si>
  <si>
    <t>EXC neg</t>
  </si>
  <si>
    <r>
      <t>BHseq  V</t>
    </r>
    <r>
      <rPr>
        <b/>
        <sz val="10"/>
        <color indexed="9"/>
        <rFont val="Arial"/>
        <family val="0"/>
      </rPr>
      <t>6</t>
    </r>
    <r>
      <rPr>
        <sz val="10"/>
        <color indexed="9"/>
        <rFont val="Arial"/>
        <family val="0"/>
      </rPr>
      <t>.4 2006</t>
    </r>
  </si>
  <si>
    <t>Campinas</t>
  </si>
  <si>
    <t>=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</si>
</sst>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  <numFmt numFmtId="183" formatCode="d/m/yy"/>
    <numFmt numFmtId="184" formatCode="0.0000"/>
    <numFmt numFmtId="185" formatCode="0.00000"/>
    <numFmt numFmtId="186" formatCode="0.000"/>
    <numFmt numFmtId="187" formatCode="dd/mm/yyyy"/>
    <numFmt numFmtId="188" formatCode="0.00000000"/>
    <numFmt numFmtId="189" formatCode="0.0000000"/>
    <numFmt numFmtId="190" formatCode="0.00000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Wingdings"/>
      <family val="0"/>
    </font>
    <font>
      <sz val="9"/>
      <color indexed="43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32"/>
      <name val="Arial"/>
      <family val="0"/>
    </font>
    <font>
      <b/>
      <sz val="16"/>
      <name val="Arial"/>
      <family val="2"/>
    </font>
    <font>
      <b/>
      <sz val="11"/>
      <name val="Arial"/>
      <family val="0"/>
    </font>
    <font>
      <b/>
      <sz val="10"/>
      <color indexed="43"/>
      <name val="Arial"/>
      <family val="2"/>
    </font>
    <font>
      <sz val="10"/>
      <color indexed="32"/>
      <name val="Arial"/>
      <family val="2"/>
    </font>
    <font>
      <b/>
      <sz val="14"/>
      <name val="Arial"/>
      <family val="0"/>
    </font>
    <font>
      <b/>
      <sz val="10"/>
      <color indexed="52"/>
      <name val="Arial"/>
      <family val="2"/>
    </font>
    <font>
      <sz val="10"/>
      <color indexed="29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Symbol"/>
      <family val="1"/>
    </font>
    <font>
      <sz val="9"/>
      <color indexed="32"/>
      <name val="Arial"/>
      <family val="2"/>
    </font>
    <font>
      <b/>
      <sz val="8"/>
      <name val="Arial"/>
      <family val="0"/>
    </font>
    <font>
      <b/>
      <sz val="10"/>
      <color indexed="39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color indexed="32"/>
      <name val="Arial"/>
      <family val="0"/>
    </font>
    <font>
      <u val="single"/>
      <sz val="10"/>
      <color indexed="32"/>
      <name val="Arial"/>
      <family val="0"/>
    </font>
    <font>
      <b/>
      <u val="single"/>
      <sz val="12"/>
      <color indexed="10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0"/>
    </font>
    <font>
      <b/>
      <sz val="10.5"/>
      <name val="Arial"/>
      <family val="0"/>
    </font>
    <font>
      <b/>
      <sz val="8.75"/>
      <name val="Arial"/>
      <family val="2"/>
    </font>
    <font>
      <sz val="8.75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b/>
      <sz val="11"/>
      <color indexed="49"/>
      <name val="Arial"/>
      <family val="2"/>
    </font>
    <font>
      <b/>
      <sz val="11"/>
      <color indexed="42"/>
      <name val="Arial"/>
      <family val="2"/>
    </font>
    <font>
      <b/>
      <u val="single"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49"/>
      <name val="Arial"/>
      <family val="2"/>
    </font>
    <font>
      <b/>
      <sz val="10"/>
      <color indexed="44"/>
      <name val="Arial"/>
      <family val="2"/>
    </font>
    <font>
      <sz val="11"/>
      <color indexed="49"/>
      <name val="Arial"/>
      <family val="2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b/>
      <sz val="12"/>
      <color indexed="32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vertAlign val="superscript"/>
      <sz val="12"/>
      <color indexed="32"/>
      <name val="Arial"/>
      <family val="2"/>
    </font>
    <font>
      <sz val="12"/>
      <color indexed="32"/>
      <name val="Arial"/>
      <family val="2"/>
    </font>
    <font>
      <sz val="12"/>
      <color indexed="18"/>
      <name val="Symbol"/>
      <family val="1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 val="single"/>
      <sz val="11"/>
      <color indexed="18"/>
      <name val="Arial"/>
      <family val="2"/>
    </font>
    <font>
      <b/>
      <vertAlign val="superscript"/>
      <sz val="16"/>
      <color indexed="18"/>
      <name val="Arial"/>
      <family val="2"/>
    </font>
    <font>
      <b/>
      <sz val="12"/>
      <color indexed="47"/>
      <name val="Arial"/>
      <family val="2"/>
    </font>
    <font>
      <b/>
      <sz val="11"/>
      <color indexed="47"/>
      <name val="Arial"/>
      <family val="2"/>
    </font>
    <font>
      <b/>
      <sz val="12"/>
      <color indexed="22"/>
      <name val="Arial"/>
      <family val="2"/>
    </font>
    <font>
      <b/>
      <sz val="12"/>
      <color indexed="47"/>
      <name val="Wingdings"/>
      <family val="0"/>
    </font>
    <font>
      <sz val="11"/>
      <color indexed="47"/>
      <name val="Arial"/>
      <family val="2"/>
    </font>
    <font>
      <sz val="10"/>
      <color indexed="47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 style="medium">
        <color indexed="32"/>
      </left>
      <right>
        <color indexed="63"/>
      </right>
      <top style="thin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0" fontId="18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 hidden="1"/>
    </xf>
    <xf numFmtId="182" fontId="0" fillId="3" borderId="0" xfId="0" applyNumberFormat="1" applyFill="1" applyBorder="1" applyAlignment="1" applyProtection="1">
      <alignment/>
      <protection hidden="1"/>
    </xf>
    <xf numFmtId="0" fontId="1" fillId="0" borderId="0" xfId="0" applyFont="1" applyFill="1" applyAlignment="1">
      <alignment/>
    </xf>
    <xf numFmtId="0" fontId="22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9" fillId="3" borderId="0" xfId="0" applyFont="1" applyFill="1" applyAlignment="1">
      <alignment/>
    </xf>
    <xf numFmtId="0" fontId="29" fillId="0" borderId="0" xfId="0" applyFont="1" applyAlignment="1">
      <alignment/>
    </xf>
    <xf numFmtId="0" fontId="30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30" fillId="3" borderId="0" xfId="0" applyFont="1" applyFill="1" applyAlignment="1">
      <alignment/>
    </xf>
    <xf numFmtId="182" fontId="0" fillId="2" borderId="0" xfId="0" applyNumberFormat="1" applyFill="1" applyBorder="1" applyAlignment="1" applyProtection="1">
      <alignment/>
      <protection hidden="1"/>
    </xf>
    <xf numFmtId="2" fontId="0" fillId="2" borderId="0" xfId="0" applyNumberFormat="1" applyFill="1" applyBorder="1" applyAlignment="1" applyProtection="1">
      <alignment/>
      <protection hidden="1"/>
    </xf>
    <xf numFmtId="182" fontId="0" fillId="2" borderId="0" xfId="0" applyNumberFormat="1" applyFont="1" applyFill="1" applyBorder="1" applyAlignment="1" applyProtection="1">
      <alignment/>
      <protection hidden="1"/>
    </xf>
    <xf numFmtId="1" fontId="0" fillId="2" borderId="0" xfId="0" applyNumberFormat="1" applyFont="1" applyFill="1" applyBorder="1" applyAlignment="1" applyProtection="1">
      <alignment/>
      <protection hidden="1"/>
    </xf>
    <xf numFmtId="2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" fontId="16" fillId="2" borderId="0" xfId="0" applyNumberFormat="1" applyFont="1" applyFill="1" applyBorder="1" applyAlignment="1" applyProtection="1">
      <alignment/>
      <protection hidden="1"/>
    </xf>
    <xf numFmtId="1" fontId="7" fillId="2" borderId="0" xfId="0" applyNumberFormat="1" applyFont="1" applyFill="1" applyAlignment="1" applyProtection="1">
      <alignment horizontal="center"/>
      <protection hidden="1"/>
    </xf>
    <xf numFmtId="182" fontId="6" fillId="2" borderId="0" xfId="0" applyNumberFormat="1" applyFont="1" applyFill="1" applyAlignment="1" applyProtection="1">
      <alignment horizontal="center"/>
      <protection hidden="1"/>
    </xf>
    <xf numFmtId="1" fontId="23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182" fontId="24" fillId="2" borderId="0" xfId="0" applyNumberFormat="1" applyFont="1" applyFill="1" applyBorder="1" applyAlignment="1" applyProtection="1">
      <alignment/>
      <protection hidden="1"/>
    </xf>
    <xf numFmtId="1" fontId="25" fillId="2" borderId="0" xfId="0" applyNumberFormat="1" applyFont="1" applyFill="1" applyBorder="1" applyAlignment="1" applyProtection="1">
      <alignment/>
      <protection hidden="1"/>
    </xf>
    <xf numFmtId="182" fontId="23" fillId="2" borderId="0" xfId="0" applyNumberFormat="1" applyFont="1" applyFill="1" applyBorder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82" fontId="0" fillId="2" borderId="0" xfId="0" applyNumberFormat="1" applyFill="1" applyBorder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32" fillId="2" borderId="0" xfId="0" applyFont="1" applyFill="1" applyAlignment="1" applyProtection="1">
      <alignment/>
      <protection hidden="1"/>
    </xf>
    <xf numFmtId="1" fontId="0" fillId="3" borderId="0" xfId="0" applyNumberForma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/>
      <protection hidden="1"/>
    </xf>
    <xf numFmtId="2" fontId="0" fillId="3" borderId="0" xfId="0" applyNumberFormat="1" applyFill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4" fillId="3" borderId="0" xfId="0" applyFont="1" applyFill="1" applyAlignment="1">
      <alignment/>
    </xf>
    <xf numFmtId="0" fontId="4" fillId="3" borderId="0" xfId="0" applyFont="1" applyFill="1" applyAlignment="1" applyProtection="1">
      <alignment/>
      <protection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2" fillId="3" borderId="5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9" fillId="3" borderId="6" xfId="0" applyFont="1" applyFill="1" applyBorder="1" applyAlignment="1" applyProtection="1">
      <alignment/>
      <protection hidden="1"/>
    </xf>
    <xf numFmtId="0" fontId="19" fillId="3" borderId="0" xfId="0" applyFont="1" applyFill="1" applyBorder="1" applyAlignment="1" applyProtection="1">
      <alignment/>
      <protection hidden="1"/>
    </xf>
    <xf numFmtId="2" fontId="19" fillId="3" borderId="0" xfId="0" applyNumberFormat="1" applyFont="1" applyFill="1" applyBorder="1" applyAlignment="1" applyProtection="1">
      <alignment/>
      <protection hidden="1"/>
    </xf>
    <xf numFmtId="1" fontId="16" fillId="3" borderId="0" xfId="0" applyNumberFormat="1" applyFont="1" applyFill="1" applyBorder="1" applyAlignment="1" applyProtection="1">
      <alignment/>
      <protection hidden="1"/>
    </xf>
    <xf numFmtId="182" fontId="16" fillId="3" borderId="0" xfId="0" applyNumberFormat="1" applyFont="1" applyFill="1" applyBorder="1" applyAlignment="1" applyProtection="1">
      <alignment/>
      <protection hidden="1"/>
    </xf>
    <xf numFmtId="182" fontId="8" fillId="3" borderId="0" xfId="0" applyNumberFormat="1" applyFont="1" applyFill="1" applyBorder="1" applyAlignment="1" applyProtection="1">
      <alignment horizontal="center"/>
      <protection hidden="1"/>
    </xf>
    <xf numFmtId="182" fontId="9" fillId="3" borderId="0" xfId="0" applyNumberFormat="1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1" fontId="7" fillId="3" borderId="0" xfId="0" applyNumberFormat="1" applyFont="1" applyFill="1" applyAlignment="1" applyProtection="1">
      <alignment horizontal="center"/>
      <protection hidden="1"/>
    </xf>
    <xf numFmtId="182" fontId="0" fillId="3" borderId="0" xfId="0" applyNumberFormat="1" applyFill="1" applyAlignment="1" applyProtection="1">
      <alignment/>
      <protection hidden="1"/>
    </xf>
    <xf numFmtId="182" fontId="15" fillId="3" borderId="0" xfId="0" applyNumberFormat="1" applyFont="1" applyFill="1" applyBorder="1" applyAlignment="1" applyProtection="1">
      <alignment/>
      <protection hidden="1"/>
    </xf>
    <xf numFmtId="182" fontId="15" fillId="3" borderId="0" xfId="0" applyNumberFormat="1" applyFont="1" applyFill="1" applyBorder="1" applyAlignment="1" applyProtection="1">
      <alignment horizontal="right"/>
      <protection hidden="1"/>
    </xf>
    <xf numFmtId="2" fontId="0" fillId="3" borderId="0" xfId="0" applyNumberFormat="1" applyFill="1" applyAlignment="1" applyProtection="1">
      <alignment/>
      <protection hidden="1"/>
    </xf>
    <xf numFmtId="182" fontId="0" fillId="3" borderId="7" xfId="0" applyNumberFormat="1" applyFill="1" applyBorder="1" applyAlignment="1" applyProtection="1">
      <alignment/>
      <protection hidden="1"/>
    </xf>
    <xf numFmtId="182" fontId="0" fillId="3" borderId="8" xfId="0" applyNumberFormat="1" applyFill="1" applyBorder="1" applyAlignment="1" applyProtection="1">
      <alignment/>
      <protection hidden="1"/>
    </xf>
    <xf numFmtId="1" fontId="1" fillId="3" borderId="0" xfId="0" applyNumberFormat="1" applyFont="1" applyFill="1" applyBorder="1" applyAlignment="1" applyProtection="1">
      <alignment/>
      <protection hidden="1"/>
    </xf>
    <xf numFmtId="1" fontId="0" fillId="3" borderId="0" xfId="0" applyNumberFormat="1" applyFont="1" applyFill="1" applyBorder="1" applyAlignment="1" applyProtection="1">
      <alignment/>
      <protection hidden="1"/>
    </xf>
    <xf numFmtId="182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1" fontId="0" fillId="3" borderId="0" xfId="0" applyNumberForma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2" fontId="6" fillId="3" borderId="9" xfId="0" applyNumberFormat="1" applyFont="1" applyFill="1" applyBorder="1" applyAlignment="1" applyProtection="1">
      <alignment/>
      <protection hidden="1"/>
    </xf>
    <xf numFmtId="182" fontId="9" fillId="3" borderId="10" xfId="0" applyNumberFormat="1" applyFont="1" applyFill="1" applyBorder="1" applyAlignment="1" applyProtection="1">
      <alignment/>
      <protection hidden="1"/>
    </xf>
    <xf numFmtId="182" fontId="9" fillId="3" borderId="11" xfId="0" applyNumberFormat="1" applyFont="1" applyFill="1" applyBorder="1" applyAlignment="1" applyProtection="1">
      <alignment/>
      <protection hidden="1"/>
    </xf>
    <xf numFmtId="2" fontId="9" fillId="3" borderId="0" xfId="0" applyNumberFormat="1" applyFont="1" applyFill="1" applyBorder="1" applyAlignment="1" applyProtection="1">
      <alignment/>
      <protection hidden="1"/>
    </xf>
    <xf numFmtId="2" fontId="6" fillId="3" borderId="9" xfId="0" applyNumberFormat="1" applyFont="1" applyFill="1" applyBorder="1" applyAlignment="1" applyProtection="1">
      <alignment horizontal="center"/>
      <protection hidden="1"/>
    </xf>
    <xf numFmtId="2" fontId="9" fillId="3" borderId="9" xfId="0" applyNumberFormat="1" applyFont="1" applyFill="1" applyBorder="1" applyAlignment="1" applyProtection="1">
      <alignment horizontal="center"/>
      <protection hidden="1"/>
    </xf>
    <xf numFmtId="2" fontId="9" fillId="3" borderId="10" xfId="0" applyNumberFormat="1" applyFont="1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2" fontId="0" fillId="3" borderId="15" xfId="0" applyNumberFormat="1" applyFill="1" applyBorder="1" applyAlignment="1" applyProtection="1">
      <alignment/>
      <protection hidden="1"/>
    </xf>
    <xf numFmtId="182" fontId="9" fillId="3" borderId="16" xfId="0" applyNumberFormat="1" applyFont="1" applyFill="1" applyBorder="1" applyAlignment="1" applyProtection="1">
      <alignment/>
      <protection hidden="1"/>
    </xf>
    <xf numFmtId="182" fontId="9" fillId="3" borderId="17" xfId="0" applyNumberFormat="1" applyFont="1" applyFill="1" applyBorder="1" applyAlignment="1" applyProtection="1">
      <alignment/>
      <protection hidden="1"/>
    </xf>
    <xf numFmtId="2" fontId="0" fillId="3" borderId="15" xfId="0" applyNumberFormat="1" applyFill="1" applyBorder="1" applyAlignment="1" applyProtection="1">
      <alignment horizontal="left"/>
      <protection hidden="1"/>
    </xf>
    <xf numFmtId="2" fontId="9" fillId="3" borderId="15" xfId="0" applyNumberFormat="1" applyFont="1" applyFill="1" applyBorder="1" applyAlignment="1" applyProtection="1">
      <alignment horizontal="center"/>
      <protection hidden="1"/>
    </xf>
    <xf numFmtId="2" fontId="9" fillId="3" borderId="16" xfId="0" applyNumberFormat="1" applyFont="1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182" fontId="40" fillId="2" borderId="0" xfId="0" applyNumberFormat="1" applyFont="1" applyFill="1" applyBorder="1" applyAlignment="1" applyProtection="1">
      <alignment horizontal="center"/>
      <protection hidden="1"/>
    </xf>
    <xf numFmtId="182" fontId="41" fillId="2" borderId="0" xfId="0" applyNumberFormat="1" applyFont="1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9" fillId="3" borderId="19" xfId="0" applyFont="1" applyFill="1" applyBorder="1" applyAlignment="1" applyProtection="1">
      <alignment/>
      <protection hidden="1"/>
    </xf>
    <xf numFmtId="2" fontId="12" fillId="3" borderId="2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3" borderId="6" xfId="0" applyFill="1" applyBorder="1" applyAlignment="1" applyProtection="1">
      <alignment/>
      <protection hidden="1"/>
    </xf>
    <xf numFmtId="0" fontId="0" fillId="3" borderId="21" xfId="0" applyFill="1" applyBorder="1" applyAlignment="1" applyProtection="1">
      <alignment/>
      <protection hidden="1"/>
    </xf>
    <xf numFmtId="182" fontId="0" fillId="3" borderId="18" xfId="0" applyNumberFormat="1" applyFill="1" applyBorder="1" applyAlignment="1" applyProtection="1">
      <alignment/>
      <protection hidden="1"/>
    </xf>
    <xf numFmtId="182" fontId="0" fillId="0" borderId="0" xfId="0" applyNumberFormat="1" applyFill="1" applyBorder="1" applyAlignment="1" applyProtection="1">
      <alignment horizontal="center"/>
      <protection locked="0"/>
    </xf>
    <xf numFmtId="0" fontId="50" fillId="3" borderId="0" xfId="0" applyFont="1" applyFill="1" applyBorder="1" applyAlignment="1">
      <alignment/>
    </xf>
    <xf numFmtId="0" fontId="0" fillId="0" borderId="22" xfId="0" applyBorder="1" applyAlignment="1" applyProtection="1">
      <alignment/>
      <protection locked="0"/>
    </xf>
    <xf numFmtId="182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" fontId="7" fillId="3" borderId="23" xfId="0" applyNumberFormat="1" applyFont="1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/>
      <protection hidden="1"/>
    </xf>
    <xf numFmtId="1" fontId="7" fillId="3" borderId="23" xfId="0" applyNumberFormat="1" applyFont="1" applyFill="1" applyBorder="1" applyAlignment="1" applyProtection="1">
      <alignment horizontal="center"/>
      <protection hidden="1"/>
    </xf>
    <xf numFmtId="1" fontId="0" fillId="3" borderId="23" xfId="0" applyNumberFormat="1" applyFill="1" applyBorder="1" applyAlignment="1" applyProtection="1">
      <alignment/>
      <protection hidden="1"/>
    </xf>
    <xf numFmtId="182" fontId="0" fillId="3" borderId="23" xfId="0" applyNumberFormat="1" applyFill="1" applyBorder="1" applyAlignment="1" applyProtection="1">
      <alignment/>
      <protection hidden="1"/>
    </xf>
    <xf numFmtId="0" fontId="51" fillId="4" borderId="0" xfId="0" applyFont="1" applyFill="1" applyAlignment="1" applyProtection="1">
      <alignment/>
      <protection hidden="1"/>
    </xf>
    <xf numFmtId="0" fontId="53" fillId="3" borderId="24" xfId="0" applyFont="1" applyFill="1" applyBorder="1" applyAlignment="1" applyProtection="1">
      <alignment horizontal="left"/>
      <protection hidden="1"/>
    </xf>
    <xf numFmtId="0" fontId="0" fillId="3" borderId="25" xfId="0" applyFont="1" applyFill="1" applyBorder="1" applyAlignment="1" applyProtection="1">
      <alignment/>
      <protection hidden="1"/>
    </xf>
    <xf numFmtId="1" fontId="52" fillId="3" borderId="26" xfId="0" applyNumberFormat="1" applyFont="1" applyFill="1" applyBorder="1" applyAlignment="1" applyProtection="1">
      <alignment horizontal="center"/>
      <protection hidden="1"/>
    </xf>
    <xf numFmtId="0" fontId="42" fillId="5" borderId="0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Alignment="1" applyProtection="1">
      <alignment horizontal="center"/>
      <protection hidden="1"/>
    </xf>
    <xf numFmtId="182" fontId="52" fillId="3" borderId="0" xfId="0" applyNumberFormat="1" applyFont="1" applyFill="1" applyBorder="1" applyAlignment="1" applyProtection="1">
      <alignment horizontal="center"/>
      <protection hidden="1"/>
    </xf>
    <xf numFmtId="182" fontId="42" fillId="5" borderId="0" xfId="0" applyNumberFormat="1" applyFont="1" applyFill="1" applyBorder="1" applyAlignment="1" applyProtection="1">
      <alignment horizontal="center"/>
      <protection locked="0"/>
    </xf>
    <xf numFmtId="182" fontId="52" fillId="3" borderId="27" xfId="0" applyNumberFormat="1" applyFont="1" applyFill="1" applyBorder="1" applyAlignment="1" applyProtection="1">
      <alignment horizontal="center"/>
      <protection hidden="1"/>
    </xf>
    <xf numFmtId="1" fontId="54" fillId="5" borderId="28" xfId="0" applyNumberFormat="1" applyFont="1" applyFill="1" applyBorder="1" applyAlignment="1" applyProtection="1">
      <alignment horizontal="center"/>
      <protection locked="0"/>
    </xf>
    <xf numFmtId="0" fontId="54" fillId="5" borderId="29" xfId="0" applyFont="1" applyFill="1" applyBorder="1" applyAlignment="1" applyProtection="1">
      <alignment horizontal="center"/>
      <protection locked="0"/>
    </xf>
    <xf numFmtId="2" fontId="55" fillId="3" borderId="29" xfId="0" applyNumberFormat="1" applyFont="1" applyFill="1" applyBorder="1" applyAlignment="1" applyProtection="1">
      <alignment horizontal="center"/>
      <protection hidden="1"/>
    </xf>
    <xf numFmtId="182" fontId="56" fillId="3" borderId="29" xfId="0" applyNumberFormat="1" applyFont="1" applyFill="1" applyBorder="1" applyAlignment="1" applyProtection="1">
      <alignment horizontal="center"/>
      <protection hidden="1"/>
    </xf>
    <xf numFmtId="1" fontId="54" fillId="5" borderId="23" xfId="0" applyNumberFormat="1" applyFont="1" applyFill="1" applyBorder="1" applyAlignment="1" applyProtection="1">
      <alignment horizontal="center"/>
      <protection locked="0"/>
    </xf>
    <xf numFmtId="1" fontId="54" fillId="5" borderId="29" xfId="0" applyNumberFormat="1" applyFont="1" applyFill="1" applyBorder="1" applyAlignment="1" applyProtection="1">
      <alignment horizontal="center"/>
      <protection locked="0"/>
    </xf>
    <xf numFmtId="2" fontId="56" fillId="3" borderId="29" xfId="0" applyNumberFormat="1" applyFont="1" applyFill="1" applyBorder="1" applyAlignment="1" applyProtection="1">
      <alignment horizontal="center"/>
      <protection hidden="1"/>
    </xf>
    <xf numFmtId="182" fontId="56" fillId="3" borderId="30" xfId="0" applyNumberFormat="1" applyFont="1" applyFill="1" applyBorder="1" applyAlignment="1" applyProtection="1">
      <alignment horizontal="center"/>
      <protection hidden="1"/>
    </xf>
    <xf numFmtId="0" fontId="42" fillId="5" borderId="10" xfId="0" applyFont="1" applyFill="1" applyBorder="1" applyAlignment="1" applyProtection="1">
      <alignment horizontal="center"/>
      <protection locked="0"/>
    </xf>
    <xf numFmtId="182" fontId="54" fillId="5" borderId="10" xfId="0" applyNumberFormat="1" applyFont="1" applyFill="1" applyBorder="1" applyAlignment="1" applyProtection="1">
      <alignment horizontal="center"/>
      <protection locked="0"/>
    </xf>
    <xf numFmtId="182" fontId="54" fillId="5" borderId="11" xfId="0" applyNumberFormat="1" applyFont="1" applyFill="1" applyBorder="1" applyAlignment="1" applyProtection="1">
      <alignment horizontal="center"/>
      <protection locked="0"/>
    </xf>
    <xf numFmtId="0" fontId="54" fillId="5" borderId="16" xfId="0" applyFont="1" applyFill="1" applyBorder="1" applyAlignment="1" applyProtection="1">
      <alignment horizontal="center"/>
      <protection locked="0"/>
    </xf>
    <xf numFmtId="0" fontId="57" fillId="5" borderId="16" xfId="0" applyFont="1" applyFill="1" applyBorder="1" applyAlignment="1" applyProtection="1">
      <alignment horizontal="center"/>
      <protection locked="0"/>
    </xf>
    <xf numFmtId="182" fontId="54" fillId="5" borderId="16" xfId="0" applyNumberFormat="1" applyFont="1" applyFill="1" applyBorder="1" applyAlignment="1" applyProtection="1">
      <alignment horizontal="center"/>
      <protection locked="0"/>
    </xf>
    <xf numFmtId="182" fontId="54" fillId="5" borderId="17" xfId="0" applyNumberFormat="1" applyFont="1" applyFill="1" applyBorder="1" applyAlignment="1" applyProtection="1">
      <alignment horizontal="center"/>
      <protection locked="0"/>
    </xf>
    <xf numFmtId="1" fontId="10" fillId="0" borderId="2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82" fontId="10" fillId="0" borderId="0" xfId="0" applyNumberFormat="1" applyFont="1" applyBorder="1" applyAlignment="1" applyProtection="1">
      <alignment horizontal="center"/>
      <protection locked="0"/>
    </xf>
    <xf numFmtId="182" fontId="10" fillId="0" borderId="0" xfId="0" applyNumberFormat="1" applyFont="1" applyAlignment="1" applyProtection="1">
      <alignment horizontal="center"/>
      <protection locked="0"/>
    </xf>
    <xf numFmtId="182" fontId="10" fillId="3" borderId="31" xfId="0" applyNumberFormat="1" applyFont="1" applyFill="1" applyBorder="1" applyAlignment="1" applyProtection="1">
      <alignment horizontal="center"/>
      <protection hidden="1"/>
    </xf>
    <xf numFmtId="2" fontId="10" fillId="3" borderId="31" xfId="0" applyNumberFormat="1" applyFont="1" applyFill="1" applyBorder="1" applyAlignment="1" applyProtection="1">
      <alignment horizontal="center"/>
      <protection hidden="1"/>
    </xf>
    <xf numFmtId="182" fontId="10" fillId="3" borderId="0" xfId="0" applyNumberFormat="1" applyFont="1" applyFill="1" applyBorder="1" applyAlignment="1" applyProtection="1">
      <alignment horizontal="center"/>
      <protection hidden="1"/>
    </xf>
    <xf numFmtId="182" fontId="10" fillId="3" borderId="32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/>
      <protection hidden="1"/>
    </xf>
    <xf numFmtId="182" fontId="10" fillId="3" borderId="0" xfId="0" applyNumberFormat="1" applyFont="1" applyFill="1" applyBorder="1" applyAlignment="1" applyProtection="1">
      <alignment/>
      <protection hidden="1"/>
    </xf>
    <xf numFmtId="2" fontId="10" fillId="3" borderId="33" xfId="0" applyNumberFormat="1" applyFont="1" applyFill="1" applyBorder="1" applyAlignment="1" applyProtection="1">
      <alignment/>
      <protection hidden="1"/>
    </xf>
    <xf numFmtId="182" fontId="10" fillId="3" borderId="22" xfId="0" applyNumberFormat="1" applyFont="1" applyFill="1" applyBorder="1" applyAlignment="1" applyProtection="1">
      <alignment/>
      <protection hidden="1"/>
    </xf>
    <xf numFmtId="2" fontId="10" fillId="3" borderId="0" xfId="0" applyNumberFormat="1" applyFont="1" applyFill="1" applyAlignment="1" applyProtection="1">
      <alignment/>
      <protection hidden="1"/>
    </xf>
    <xf numFmtId="2" fontId="10" fillId="3" borderId="33" xfId="0" applyNumberFormat="1" applyFont="1" applyFill="1" applyBorder="1" applyAlignment="1" applyProtection="1">
      <alignment horizontal="center"/>
      <protection hidden="1"/>
    </xf>
    <xf numFmtId="2" fontId="10" fillId="3" borderId="0" xfId="0" applyNumberFormat="1" applyFont="1" applyFill="1" applyBorder="1" applyAlignment="1" applyProtection="1">
      <alignment horizontal="center"/>
      <protection hidden="1"/>
    </xf>
    <xf numFmtId="2" fontId="10" fillId="3" borderId="22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/>
      <protection hidden="1"/>
    </xf>
    <xf numFmtId="182" fontId="10" fillId="3" borderId="12" xfId="0" applyNumberFormat="1" applyFont="1" applyFill="1" applyBorder="1" applyAlignment="1" applyProtection="1">
      <alignment/>
      <protection hidden="1"/>
    </xf>
    <xf numFmtId="182" fontId="10" fillId="3" borderId="13" xfId="0" applyNumberFormat="1" applyFont="1" applyFill="1" applyBorder="1" applyAlignment="1" applyProtection="1">
      <alignment/>
      <protection hidden="1"/>
    </xf>
    <xf numFmtId="182" fontId="10" fillId="3" borderId="14" xfId="0" applyNumberFormat="1" applyFont="1" applyFill="1" applyBorder="1" applyAlignment="1" applyProtection="1">
      <alignment/>
      <protection hidden="1"/>
    </xf>
    <xf numFmtId="182" fontId="10" fillId="3" borderId="27" xfId="0" applyNumberFormat="1" applyFont="1" applyFill="1" applyBorder="1" applyAlignment="1" applyProtection="1">
      <alignment horizontal="center"/>
      <protection hidden="1"/>
    </xf>
    <xf numFmtId="182" fontId="10" fillId="3" borderId="34" xfId="0" applyNumberFormat="1" applyFont="1" applyFill="1" applyBorder="1" applyAlignment="1" applyProtection="1">
      <alignment/>
      <protection hidden="1"/>
    </xf>
    <xf numFmtId="182" fontId="10" fillId="3" borderId="35" xfId="0" applyNumberFormat="1" applyFont="1" applyFill="1" applyBorder="1" applyAlignment="1" applyProtection="1">
      <alignment/>
      <protection hidden="1"/>
    </xf>
    <xf numFmtId="0" fontId="11" fillId="0" borderId="36" xfId="0" applyFont="1" applyBorder="1" applyAlignment="1" applyProtection="1">
      <alignment horizontal="center"/>
      <protection hidden="1"/>
    </xf>
    <xf numFmtId="1" fontId="36" fillId="2" borderId="37" xfId="0" applyNumberFormat="1" applyFont="1" applyFill="1" applyBorder="1" applyAlignment="1" applyProtection="1">
      <alignment horizontal="center"/>
      <protection hidden="1"/>
    </xf>
    <xf numFmtId="182" fontId="36" fillId="2" borderId="38" xfId="0" applyNumberFormat="1" applyFont="1" applyFill="1" applyBorder="1" applyAlignment="1" applyProtection="1">
      <alignment horizontal="center"/>
      <protection hidden="1"/>
    </xf>
    <xf numFmtId="182" fontId="36" fillId="3" borderId="38" xfId="0" applyNumberFormat="1" applyFont="1" applyFill="1" applyBorder="1" applyAlignment="1" applyProtection="1">
      <alignment horizontal="center"/>
      <protection hidden="1"/>
    </xf>
    <xf numFmtId="182" fontId="36" fillId="3" borderId="39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182" fontId="42" fillId="3" borderId="0" xfId="0" applyNumberFormat="1" applyFont="1" applyFill="1" applyBorder="1" applyAlignment="1" applyProtection="1">
      <alignment horizontal="center"/>
      <protection/>
    </xf>
    <xf numFmtId="0" fontId="54" fillId="3" borderId="29" xfId="0" applyFont="1" applyFill="1" applyBorder="1" applyAlignment="1" applyProtection="1">
      <alignment horizontal="center"/>
      <protection/>
    </xf>
    <xf numFmtId="0" fontId="42" fillId="5" borderId="16" xfId="0" applyFont="1" applyFill="1" applyBorder="1" applyAlignment="1" applyProtection="1">
      <alignment horizontal="center"/>
      <protection locked="0"/>
    </xf>
    <xf numFmtId="0" fontId="58" fillId="5" borderId="0" xfId="0" applyFont="1" applyFill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0" fillId="3" borderId="0" xfId="0" applyFont="1" applyFill="1" applyBorder="1" applyAlignment="1" applyProtection="1">
      <alignment horizontal="center"/>
      <protection hidden="1"/>
    </xf>
    <xf numFmtId="0" fontId="58" fillId="3" borderId="0" xfId="0" applyFont="1" applyFill="1" applyBorder="1" applyAlignment="1">
      <alignment/>
    </xf>
    <xf numFmtId="0" fontId="1" fillId="3" borderId="0" xfId="0" applyFont="1" applyFill="1" applyAlignment="1">
      <alignment horizontal="left"/>
    </xf>
    <xf numFmtId="182" fontId="0" fillId="2" borderId="0" xfId="0" applyNumberFormat="1" applyFill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3" borderId="0" xfId="0" applyNumberFormat="1" applyFill="1" applyAlignment="1" applyProtection="1">
      <alignment/>
      <protection hidden="1"/>
    </xf>
    <xf numFmtId="0" fontId="42" fillId="5" borderId="10" xfId="0" applyFont="1" applyFill="1" applyBorder="1" applyAlignment="1" applyProtection="1">
      <alignment horizontal="left"/>
      <protection locked="0"/>
    </xf>
    <xf numFmtId="0" fontId="60" fillId="5" borderId="42" xfId="0" applyFont="1" applyFill="1" applyBorder="1" applyAlignment="1" applyProtection="1">
      <alignment horizontal="center"/>
      <protection locked="0"/>
    </xf>
    <xf numFmtId="0" fontId="61" fillId="5" borderId="43" xfId="0" applyFont="1" applyFill="1" applyBorder="1" applyAlignment="1" applyProtection="1">
      <alignment horizontal="center"/>
      <protection locked="0"/>
    </xf>
    <xf numFmtId="182" fontId="10" fillId="0" borderId="42" xfId="0" applyNumberFormat="1" applyFont="1" applyBorder="1" applyAlignment="1" applyProtection="1">
      <alignment horizontal="center"/>
      <protection locked="0"/>
    </xf>
    <xf numFmtId="182" fontId="10" fillId="0" borderId="26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1" xfId="0" applyNumberFormat="1" applyFont="1" applyFill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2" fontId="10" fillId="0" borderId="22" xfId="0" applyNumberFormat="1" applyFont="1" applyFill="1" applyBorder="1" applyAlignment="1" applyProtection="1">
      <alignment/>
      <protection locked="0"/>
    </xf>
    <xf numFmtId="1" fontId="0" fillId="6" borderId="0" xfId="0" applyNumberFormat="1" applyFill="1" applyBorder="1" applyAlignment="1" applyProtection="1">
      <alignment/>
      <protection hidden="1"/>
    </xf>
    <xf numFmtId="0" fontId="34" fillId="7" borderId="0" xfId="0" applyFont="1" applyFill="1" applyAlignment="1">
      <alignment/>
    </xf>
    <xf numFmtId="0" fontId="34" fillId="3" borderId="0" xfId="0" applyFont="1" applyFill="1" applyAlignment="1">
      <alignment/>
    </xf>
    <xf numFmtId="0" fontId="6" fillId="3" borderId="44" xfId="0" applyFont="1" applyFill="1" applyBorder="1" applyAlignment="1">
      <alignment/>
    </xf>
    <xf numFmtId="0" fontId="1" fillId="3" borderId="45" xfId="0" applyFont="1" applyFill="1" applyBorder="1" applyAlignment="1">
      <alignment horizontal="left"/>
    </xf>
    <xf numFmtId="0" fontId="31" fillId="3" borderId="45" xfId="0" applyFont="1" applyFill="1" applyBorder="1" applyAlignment="1">
      <alignment/>
    </xf>
    <xf numFmtId="0" fontId="31" fillId="3" borderId="46" xfId="0" applyFont="1" applyFill="1" applyBorder="1" applyAlignment="1">
      <alignment/>
    </xf>
    <xf numFmtId="0" fontId="6" fillId="3" borderId="47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/>
    </xf>
    <xf numFmtId="0" fontId="31" fillId="3" borderId="48" xfId="0" applyFont="1" applyFill="1" applyBorder="1" applyAlignment="1">
      <alignment/>
    </xf>
    <xf numFmtId="0" fontId="6" fillId="3" borderId="49" xfId="0" applyFont="1" applyFill="1" applyBorder="1" applyAlignment="1">
      <alignment/>
    </xf>
    <xf numFmtId="0" fontId="1" fillId="3" borderId="50" xfId="0" applyFont="1" applyFill="1" applyBorder="1" applyAlignment="1">
      <alignment horizontal="left"/>
    </xf>
    <xf numFmtId="0" fontId="31" fillId="3" borderId="50" xfId="0" applyFont="1" applyFill="1" applyBorder="1" applyAlignment="1">
      <alignment/>
    </xf>
    <xf numFmtId="0" fontId="31" fillId="3" borderId="51" xfId="0" applyFont="1" applyFill="1" applyBorder="1" applyAlignment="1">
      <alignment/>
    </xf>
    <xf numFmtId="0" fontId="9" fillId="8" borderId="0" xfId="0" applyFont="1" applyFill="1" applyBorder="1" applyAlignment="1" applyProtection="1">
      <alignment/>
      <protection hidden="1"/>
    </xf>
    <xf numFmtId="1" fontId="9" fillId="8" borderId="0" xfId="0" applyNumberFormat="1" applyFont="1" applyFill="1" applyBorder="1" applyAlignment="1" applyProtection="1">
      <alignment/>
      <protection hidden="1"/>
    </xf>
    <xf numFmtId="0" fontId="43" fillId="8" borderId="0" xfId="0" applyFont="1" applyFill="1" applyBorder="1" applyAlignment="1" applyProtection="1">
      <alignment/>
      <protection hidden="1"/>
    </xf>
    <xf numFmtId="0" fontId="44" fillId="8" borderId="0" xfId="0" applyFont="1" applyFill="1" applyBorder="1" applyAlignment="1" applyProtection="1">
      <alignment horizontal="center"/>
      <protection hidden="1"/>
    </xf>
    <xf numFmtId="0" fontId="45" fillId="8" borderId="0" xfId="0" applyFont="1" applyFill="1" applyBorder="1" applyAlignment="1" applyProtection="1">
      <alignment/>
      <protection hidden="1"/>
    </xf>
    <xf numFmtId="0" fontId="35" fillId="8" borderId="0" xfId="0" applyFont="1" applyFill="1" applyBorder="1" applyAlignment="1" applyProtection="1">
      <alignment horizontal="right"/>
      <protection hidden="1"/>
    </xf>
    <xf numFmtId="0" fontId="49" fillId="8" borderId="0" xfId="0" applyFont="1" applyFill="1" applyBorder="1" applyAlignment="1" applyProtection="1">
      <alignment horizontal="center"/>
      <protection hidden="1"/>
    </xf>
    <xf numFmtId="0" fontId="46" fillId="8" borderId="0" xfId="0" applyFont="1" applyFill="1" applyBorder="1" applyAlignment="1" applyProtection="1">
      <alignment/>
      <protection hidden="1"/>
    </xf>
    <xf numFmtId="182" fontId="35" fillId="8" borderId="0" xfId="0" applyNumberFormat="1" applyFont="1" applyFill="1" applyBorder="1" applyAlignment="1" applyProtection="1">
      <alignment horizontal="right"/>
      <protection hidden="1"/>
    </xf>
    <xf numFmtId="0" fontId="47" fillId="8" borderId="0" xfId="0" applyFont="1" applyFill="1" applyBorder="1" applyAlignment="1" applyProtection="1">
      <alignment horizontal="left"/>
      <protection hidden="1"/>
    </xf>
    <xf numFmtId="0" fontId="48" fillId="8" borderId="0" xfId="0" applyFont="1" applyFill="1" applyBorder="1" applyAlignment="1" applyProtection="1">
      <alignment horizontal="left"/>
      <protection hidden="1"/>
    </xf>
    <xf numFmtId="0" fontId="62" fillId="9" borderId="52" xfId="0" applyFont="1" applyFill="1" applyBorder="1" applyAlignment="1" applyProtection="1">
      <alignment/>
      <protection hidden="1"/>
    </xf>
    <xf numFmtId="182" fontId="66" fillId="9" borderId="53" xfId="0" applyNumberFormat="1" applyFont="1" applyFill="1" applyBorder="1" applyAlignment="1" applyProtection="1">
      <alignment/>
      <protection hidden="1"/>
    </xf>
    <xf numFmtId="0" fontId="63" fillId="9" borderId="53" xfId="0" applyFont="1" applyFill="1" applyBorder="1" applyAlignment="1" applyProtection="1">
      <alignment horizontal="right"/>
      <protection hidden="1"/>
    </xf>
    <xf numFmtId="2" fontId="67" fillId="9" borderId="54" xfId="0" applyNumberFormat="1" applyFont="1" applyFill="1" applyBorder="1" applyAlignment="1" applyProtection="1">
      <alignment horizontal="center"/>
      <protection hidden="1"/>
    </xf>
    <xf numFmtId="182" fontId="68" fillId="9" borderId="0" xfId="0" applyNumberFormat="1" applyFont="1" applyFill="1" applyBorder="1" applyAlignment="1" applyProtection="1">
      <alignment/>
      <protection hidden="1"/>
    </xf>
    <xf numFmtId="0" fontId="34" fillId="9" borderId="0" xfId="0" applyFont="1" applyFill="1" applyBorder="1" applyAlignment="1" applyProtection="1">
      <alignment/>
      <protection hidden="1"/>
    </xf>
    <xf numFmtId="1" fontId="34" fillId="9" borderId="0" xfId="0" applyNumberFormat="1" applyFont="1" applyFill="1" applyBorder="1" applyAlignment="1" applyProtection="1">
      <alignment/>
      <protection hidden="1"/>
    </xf>
    <xf numFmtId="1" fontId="62" fillId="9" borderId="25" xfId="0" applyNumberFormat="1" applyFont="1" applyFill="1" applyBorder="1" applyAlignment="1" applyProtection="1">
      <alignment/>
      <protection hidden="1"/>
    </xf>
    <xf numFmtId="0" fontId="11" fillId="3" borderId="19" xfId="0" applyFont="1" applyFill="1" applyBorder="1" applyAlignment="1" applyProtection="1">
      <alignment horizontal="center"/>
      <protection locked="0"/>
    </xf>
    <xf numFmtId="2" fontId="11" fillId="3" borderId="19" xfId="0" applyNumberFormat="1" applyFont="1" applyFill="1" applyBorder="1" applyAlignment="1" applyProtection="1">
      <alignment horizontal="center"/>
      <protection locked="0"/>
    </xf>
    <xf numFmtId="182" fontId="62" fillId="9" borderId="25" xfId="0" applyNumberFormat="1" applyFont="1" applyFill="1" applyBorder="1" applyAlignment="1" applyProtection="1">
      <alignment horizontal="center"/>
      <protection hidden="1"/>
    </xf>
    <xf numFmtId="1" fontId="11" fillId="3" borderId="19" xfId="0" applyNumberFormat="1" applyFont="1" applyFill="1" applyBorder="1" applyAlignment="1" applyProtection="1">
      <alignment horizontal="center"/>
      <protection locked="0"/>
    </xf>
    <xf numFmtId="0" fontId="63" fillId="9" borderId="25" xfId="0" applyFont="1" applyFill="1" applyBorder="1" applyAlignment="1" applyProtection="1">
      <alignment/>
      <protection hidden="1"/>
    </xf>
    <xf numFmtId="0" fontId="64" fillId="9" borderId="25" xfId="0" applyFont="1" applyFill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hidden="1"/>
    </xf>
    <xf numFmtId="182" fontId="65" fillId="9" borderId="6" xfId="0" applyNumberFormat="1" applyFont="1" applyFill="1" applyBorder="1" applyAlignment="1" applyProtection="1">
      <alignment/>
      <protection hidden="1"/>
    </xf>
    <xf numFmtId="0" fontId="11" fillId="3" borderId="6" xfId="0" applyFont="1" applyFill="1" applyBorder="1" applyAlignment="1" applyProtection="1">
      <alignment horizontal="center"/>
      <protection locked="0"/>
    </xf>
    <xf numFmtId="1" fontId="7" fillId="3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2" fontId="9" fillId="2" borderId="0" xfId="0" applyNumberFormat="1" applyFont="1" applyFill="1" applyBorder="1" applyAlignment="1" applyProtection="1">
      <alignment/>
      <protection hidden="1"/>
    </xf>
    <xf numFmtId="182" fontId="10" fillId="3" borderId="0" xfId="0" applyNumberFormat="1" applyFont="1" applyFill="1" applyAlignment="1" applyProtection="1">
      <alignment horizontal="center"/>
      <protection hidden="1"/>
    </xf>
    <xf numFmtId="182" fontId="10" fillId="0" borderId="0" xfId="0" applyNumberFormat="1" applyFont="1" applyAlignment="1" applyProtection="1">
      <alignment horizontal="center"/>
      <protection locked="0"/>
    </xf>
    <xf numFmtId="182" fontId="34" fillId="8" borderId="0" xfId="0" applyNumberFormat="1" applyFont="1" applyFill="1" applyBorder="1" applyAlignment="1" applyProtection="1">
      <alignment horizontal="right"/>
      <protection hidden="1"/>
    </xf>
    <xf numFmtId="2" fontId="17" fillId="0" borderId="6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Balanço Hídrico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525"/>
          <c:w val="0.97075"/>
          <c:h val="0.891"/>
        </c:manualLayout>
      </c:layout>
      <c:lineChart>
        <c:grouping val="standard"/>
        <c:varyColors val="0"/>
        <c:ser>
          <c:idx val="0"/>
          <c:order val="0"/>
          <c:tx>
            <c:v>Precipitação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BHsequencial!$AP$19:$AP$43</c:f>
              <c:strCache/>
            </c:strRef>
          </c:cat>
          <c:val>
            <c:numRef>
              <c:f>BHsequencial!$AQ$19:$AQ$43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ETP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BHsequencial!$AP$19:$AP$43</c:f>
              <c:strCache/>
            </c:strRef>
          </c:cat>
          <c:val>
            <c:numRef>
              <c:f>BHsequencial!$AR$19:$AR$43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ETR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BHsequencial!$AP$19:$AP$43</c:f>
              <c:strCache/>
            </c:strRef>
          </c:cat>
          <c:val>
            <c:numRef>
              <c:f>BHsequencial!$AS$19:$AS$43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41164572"/>
        <c:axId val="34936829"/>
      </c:lineChart>
      <c:catAx>
        <c:axId val="4116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Decêndios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936829"/>
        <c:crosses val="autoZero"/>
        <c:auto val="0"/>
        <c:lblOffset val="100"/>
        <c:noMultiLvlLbl val="0"/>
      </c:catAx>
      <c:valAx>
        <c:axId val="3493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1164572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1925"/>
          <c:y val="0.95725"/>
          <c:w val="0.42525"/>
          <c:h val="0.042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Balanço Hídrico</a:t>
            </a:r>
          </a:p>
        </c:rich>
      </c:tx>
      <c:layout>
        <c:manualLayout>
          <c:xMode val="factor"/>
          <c:yMode val="factor"/>
          <c:x val="0.02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4575"/>
          <c:w val="0.937"/>
          <c:h val="0.911"/>
        </c:manualLayout>
      </c:layout>
      <c:areaChart>
        <c:grouping val="stacked"/>
        <c:varyColors val="0"/>
        <c:ser>
          <c:idx val="0"/>
          <c:order val="0"/>
          <c:tx>
            <c:v>Deficiência</c:v>
          </c:tx>
          <c:spPr>
            <a:pattFill prst="pct20">
              <a:fgClr>
                <a:srgbClr val="FFFFFF"/>
              </a:fgClr>
              <a:bgClr>
                <a:srgbClr val="FF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BHsequencial!$AA$19:$AA$43</c:f>
              <c:strCache/>
            </c:strRef>
          </c:cat>
          <c:val>
            <c:numRef>
              <c:f>BHsequencial!$AB$19:$AB$43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Excedente</c:v>
          </c:tx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BHsequencial!$AA$19:$AA$43</c:f>
              <c:strCache/>
            </c:strRef>
          </c:cat>
          <c:val>
            <c:numRef>
              <c:f>BHsequencial!$AC$19:$AC$43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5996006"/>
        <c:axId val="11310871"/>
      </c:areaChart>
      <c:catAx>
        <c:axId val="4599600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310871"/>
        <c:crosses val="autoZero"/>
        <c:auto val="0"/>
        <c:lblOffset val="100"/>
        <c:noMultiLvlLbl val="0"/>
      </c:catAx>
      <c:valAx>
        <c:axId val="1131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996006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5175"/>
          <c:y val="0.1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Capacidade de Água disponível (CAD) e Armazenamento (ARM)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99"/>
          <c:w val="0.969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BHsequencial!$BF$18</c:f>
              <c:strCache>
                <c:ptCount val="1"/>
                <c:pt idx="0">
                  <c:v>CAD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BHsequencial!$BE$19:$BE$43</c:f>
              <c:strCache/>
            </c:strRef>
          </c:cat>
          <c:val>
            <c:numRef>
              <c:f>BHsequencial!$BF$19:$BF$43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BHsequencial!$BG$18</c:f>
              <c:strCache>
                <c:ptCount val="1"/>
                <c:pt idx="0">
                  <c:v>ARM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BHsequencial!$BE$19:$BE$43</c:f>
              <c:strCache/>
            </c:strRef>
          </c:cat>
          <c:val>
            <c:numRef>
              <c:f>BHsequencial!$BG$19:$BG$43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4688976"/>
        <c:axId val="43765329"/>
      </c:lineChart>
      <c:catAx>
        <c:axId val="3468897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765329"/>
        <c:crosses val="autoZero"/>
        <c:auto val="0"/>
        <c:lblOffset val="100"/>
        <c:noMultiLvlLbl val="0"/>
      </c:catAx>
      <c:valAx>
        <c:axId val="43765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68897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75"/>
          <c:y val="0.932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Deficiência, Excedente, Retirada e Reposição Hídrica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8375"/>
          <c:w val="0.92125"/>
          <c:h val="0.80775"/>
        </c:manualLayout>
      </c:layout>
      <c:barChart>
        <c:barDir val="col"/>
        <c:grouping val="stacked"/>
        <c:varyColors val="0"/>
        <c:ser>
          <c:idx val="0"/>
          <c:order val="0"/>
          <c:tx>
            <c:v>Deficiência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BHsequencial!$BS$19:$BS$43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-0.2533253370477695</c:v>
                </c:pt>
                <c:pt idx="4">
                  <c:v>0</c:v>
                </c:pt>
                <c:pt idx="5">
                  <c:v>0</c:v>
                </c:pt>
                <c:pt idx="6">
                  <c:v>-0.2773330660110389</c:v>
                </c:pt>
                <c:pt idx="7">
                  <c:v>-3.1143498686214244</c:v>
                </c:pt>
                <c:pt idx="8">
                  <c:v>-0.5987233153826708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Excedente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BHsequencial!$BR$19:$BR$43</c:f>
              <c:numCache>
                <c:ptCount val="25"/>
                <c:pt idx="0">
                  <c:v>125.0245915834699</c:v>
                </c:pt>
                <c:pt idx="1">
                  <c:v>85.20604508957763</c:v>
                </c:pt>
                <c:pt idx="2">
                  <c:v>41.10443062687415</c:v>
                </c:pt>
                <c:pt idx="3">
                  <c:v>0</c:v>
                </c:pt>
                <c:pt idx="4">
                  <c:v>1.6182963880389707</c:v>
                </c:pt>
                <c:pt idx="5">
                  <c:v>4.868381718561146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12.942655970206815</c:v>
                </c:pt>
                <c:pt idx="10">
                  <c:v>42.4527390450648</c:v>
                </c:pt>
                <c:pt idx="11">
                  <c:v>109.74792742750125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2"/>
          <c:tx>
            <c:v>Retirada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BHsequencial!$BT$19:$BT$43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-6.950067572217051</c:v>
                </c:pt>
                <c:pt idx="4">
                  <c:v>0</c:v>
                </c:pt>
                <c:pt idx="5">
                  <c:v>0</c:v>
                </c:pt>
                <c:pt idx="6">
                  <c:v>-7.263861316169255</c:v>
                </c:pt>
                <c:pt idx="7">
                  <c:v>-16.570717813210422</c:v>
                </c:pt>
                <c:pt idx="8">
                  <c:v>-1.8205071289533379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3"/>
          <c:tx>
            <c:v>Reposição</c:v>
          </c:tx>
          <c:spPr>
            <a:solidFill>
              <a:srgbClr val="339933"/>
            </a:solidFill>
            <a:ln w="12700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BHsequencial!$BU$19:$BU$43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6.950067572217051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25.655086258333014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0"/>
        <c:axId val="58343642"/>
        <c:axId val="55330731"/>
      </c:barChart>
      <c:catAx>
        <c:axId val="5834364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5330731"/>
        <c:crossesAt val="0"/>
        <c:auto val="0"/>
        <c:lblOffset val="100"/>
        <c:noMultiLvlLbl val="0"/>
      </c:catAx>
      <c:valAx>
        <c:axId val="55330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343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45</xdr:col>
      <xdr:colOff>142875</xdr:colOff>
      <xdr:row>15</xdr:row>
      <xdr:rowOff>47625</xdr:rowOff>
    </xdr:from>
    <xdr:to>
      <xdr:col>54</xdr:col>
      <xdr:colOff>66675</xdr:colOff>
      <xdr:row>43</xdr:row>
      <xdr:rowOff>0</xdr:rowOff>
    </xdr:to>
    <xdr:graphicFrame>
      <xdr:nvGraphicFramePr>
        <xdr:cNvPr id="1" name="Chart 22"/>
        <xdr:cNvGraphicFramePr/>
      </xdr:nvGraphicFramePr>
      <xdr:xfrm>
        <a:off x="30432375" y="2552700"/>
        <a:ext cx="62960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30</xdr:col>
      <xdr:colOff>47625</xdr:colOff>
      <xdr:row>15</xdr:row>
      <xdr:rowOff>114300</xdr:rowOff>
    </xdr:from>
    <xdr:to>
      <xdr:col>39</xdr:col>
      <xdr:colOff>533400</xdr:colOff>
      <xdr:row>41</xdr:row>
      <xdr:rowOff>142875</xdr:rowOff>
    </xdr:to>
    <xdr:graphicFrame>
      <xdr:nvGraphicFramePr>
        <xdr:cNvPr id="2" name="Chart 23"/>
        <xdr:cNvGraphicFramePr/>
      </xdr:nvGraphicFramePr>
      <xdr:xfrm>
        <a:off x="20164425" y="2619375"/>
        <a:ext cx="67246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absolute">
    <xdr:from>
      <xdr:col>59</xdr:col>
      <xdr:colOff>142875</xdr:colOff>
      <xdr:row>14</xdr:row>
      <xdr:rowOff>180975</xdr:rowOff>
    </xdr:from>
    <xdr:to>
      <xdr:col>67</xdr:col>
      <xdr:colOff>352425</xdr:colOff>
      <xdr:row>40</xdr:row>
      <xdr:rowOff>142875</xdr:rowOff>
    </xdr:to>
    <xdr:graphicFrame>
      <xdr:nvGraphicFramePr>
        <xdr:cNvPr id="3" name="Chart 24"/>
        <xdr:cNvGraphicFramePr/>
      </xdr:nvGraphicFramePr>
      <xdr:xfrm>
        <a:off x="40614600" y="2486025"/>
        <a:ext cx="630555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 editAs="absolute">
    <xdr:from>
      <xdr:col>73</xdr:col>
      <xdr:colOff>114300</xdr:colOff>
      <xdr:row>15</xdr:row>
      <xdr:rowOff>38100</xdr:rowOff>
    </xdr:from>
    <xdr:to>
      <xdr:col>81</xdr:col>
      <xdr:colOff>714375</xdr:colOff>
      <xdr:row>42</xdr:row>
      <xdr:rowOff>200025</xdr:rowOff>
    </xdr:to>
    <xdr:graphicFrame>
      <xdr:nvGraphicFramePr>
        <xdr:cNvPr id="4" name="Chart 26"/>
        <xdr:cNvGraphicFramePr/>
      </xdr:nvGraphicFramePr>
      <xdr:xfrm>
        <a:off x="51254025" y="2543175"/>
        <a:ext cx="6696075" cy="5191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DX63"/>
  <sheetViews>
    <sheetView showRowColHeaders="0" tabSelected="1" zoomScale="75" zoomScaleNormal="75" workbookViewId="0" topLeftCell="A1">
      <selection activeCell="E47" sqref="E47"/>
    </sheetView>
  </sheetViews>
  <sheetFormatPr defaultColWidth="9.140625" defaultRowHeight="12.75"/>
  <cols>
    <col min="1" max="1" width="2.28125" style="1" customWidth="1"/>
    <col min="2" max="2" width="15.00390625" style="1" customWidth="1"/>
    <col min="3" max="3" width="8.57421875" style="1" customWidth="1"/>
    <col min="4" max="4" width="10.7109375" style="1" customWidth="1"/>
    <col min="5" max="5" width="13.140625" style="1" customWidth="1"/>
    <col min="6" max="6" width="9.57421875" style="1" customWidth="1"/>
    <col min="7" max="7" width="11.140625" style="1" customWidth="1"/>
    <col min="8" max="8" width="19.140625" style="1" customWidth="1"/>
    <col min="9" max="9" width="8.57421875" style="1" customWidth="1"/>
    <col min="10" max="10" width="13.00390625" style="1" customWidth="1"/>
    <col min="11" max="11" width="12.28125" style="1" customWidth="1"/>
    <col min="12" max="12" width="20.7109375" style="1" customWidth="1"/>
    <col min="13" max="13" width="10.421875" style="1" customWidth="1"/>
    <col min="14" max="14" width="9.140625" style="1" customWidth="1"/>
    <col min="15" max="15" width="8.8515625" style="1" customWidth="1"/>
    <col min="16" max="16" width="11.00390625" style="1" customWidth="1"/>
    <col min="17" max="17" width="8.7109375" style="1" customWidth="1"/>
    <col min="18" max="18" width="12.7109375" style="1" customWidth="1"/>
    <col min="19" max="19" width="9.28125" style="1" customWidth="1"/>
    <col min="20" max="26" width="8.7109375" style="1" customWidth="1"/>
    <col min="27" max="27" width="6.8515625" style="1" customWidth="1"/>
    <col min="28" max="28" width="7.8515625" style="1" customWidth="1"/>
    <col min="29" max="29" width="7.28125" style="1" customWidth="1"/>
    <col min="30" max="30" width="4.421875" style="2" customWidth="1"/>
    <col min="31" max="31" width="7.28125" style="1" customWidth="1"/>
    <col min="32" max="32" width="6.28125" style="1" customWidth="1"/>
    <col min="33" max="35" width="11.421875" style="1" customWidth="1"/>
    <col min="36" max="36" width="11.421875" style="2" customWidth="1"/>
    <col min="37" max="40" width="11.421875" style="1" customWidth="1"/>
    <col min="41" max="41" width="7.421875" style="1" customWidth="1"/>
    <col min="42" max="42" width="7.140625" style="1" customWidth="1"/>
    <col min="43" max="43" width="9.00390625" style="1" customWidth="1"/>
    <col min="44" max="44" width="14.8515625" style="1" customWidth="1"/>
    <col min="45" max="45" width="9.140625" style="1" customWidth="1"/>
    <col min="46" max="46" width="4.140625" style="1" customWidth="1"/>
    <col min="47" max="85" width="11.421875" style="1" customWidth="1"/>
    <col min="86" max="86" width="11.421875" style="52" customWidth="1"/>
    <col min="87" max="94" width="9.140625" style="4" hidden="1" customWidth="1"/>
    <col min="95" max="95" width="8.28125" style="4" hidden="1" customWidth="1"/>
    <col min="96" max="96" width="8.7109375" style="4" hidden="1" customWidth="1"/>
    <col min="97" max="97" width="8.421875" style="4" hidden="1" customWidth="1"/>
    <col min="98" max="98" width="2.7109375" style="46" hidden="1" customWidth="1"/>
    <col min="99" max="106" width="2.7109375" style="4" hidden="1" customWidth="1"/>
    <col min="107" max="108" width="5.00390625" style="4" hidden="1" customWidth="1"/>
    <col min="109" max="109" width="3.8515625" style="4" hidden="1" customWidth="1"/>
    <col min="110" max="110" width="28.00390625" style="4" hidden="1" customWidth="1"/>
    <col min="111" max="116" width="9.140625" style="4" hidden="1" customWidth="1"/>
    <col min="117" max="117" width="8.8515625" style="4" hidden="1" customWidth="1"/>
    <col min="118" max="118" width="10.7109375" style="4" hidden="1" customWidth="1"/>
    <col min="119" max="119" width="4.7109375" style="4" hidden="1" customWidth="1"/>
    <col min="120" max="121" width="9.140625" style="4" hidden="1" customWidth="1"/>
    <col min="122" max="128" width="11.421875" style="1" hidden="1" customWidth="1"/>
    <col min="129" max="16384" width="11.421875" style="1" customWidth="1"/>
  </cols>
  <sheetData>
    <row r="1" spans="1:120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49"/>
      <c r="AC1" s="51"/>
      <c r="AD1" s="51"/>
      <c r="AE1" s="16"/>
      <c r="AF1" s="16"/>
      <c r="AG1" s="51"/>
      <c r="AH1" s="74"/>
      <c r="AI1" s="74"/>
      <c r="AJ1" s="74"/>
      <c r="AK1" s="74"/>
      <c r="AL1" s="74"/>
      <c r="AM1" s="74"/>
      <c r="AN1" s="74"/>
      <c r="AO1" s="74"/>
      <c r="AP1" s="51"/>
      <c r="AQ1" s="51"/>
      <c r="AR1" s="51"/>
      <c r="AS1" s="69"/>
      <c r="AT1" s="4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83"/>
      <c r="CI1" s="5">
        <v>0</v>
      </c>
      <c r="CJ1" s="5">
        <v>1</v>
      </c>
      <c r="CK1" s="28">
        <v>16.9</v>
      </c>
      <c r="CL1" s="29">
        <v>0</v>
      </c>
      <c r="CM1" s="28">
        <v>0</v>
      </c>
      <c r="CN1" s="30">
        <f>CK1*CL1*0.01*10</f>
        <v>0</v>
      </c>
      <c r="CO1" s="30">
        <f>CM1-CN1</f>
        <v>0</v>
      </c>
      <c r="CP1" s="30">
        <v>0</v>
      </c>
      <c r="CQ1" s="31">
        <f>IF(CO1&lt;0,1,0)</f>
        <v>0</v>
      </c>
      <c r="CR1" s="31">
        <f aca="true" t="shared" si="0" ref="CR1:CZ1">IF(AND(CT13=1,CQ1=0),1,0)</f>
        <v>0</v>
      </c>
      <c r="CS1" s="31">
        <f t="shared" si="0"/>
        <v>0</v>
      </c>
      <c r="CT1" s="31">
        <f t="shared" si="0"/>
        <v>0</v>
      </c>
      <c r="CU1" s="31">
        <f t="shared" si="0"/>
        <v>0</v>
      </c>
      <c r="CV1" s="31">
        <f t="shared" si="0"/>
        <v>0</v>
      </c>
      <c r="CW1" s="31">
        <f t="shared" si="0"/>
        <v>0</v>
      </c>
      <c r="CX1" s="31">
        <f t="shared" si="0"/>
        <v>0</v>
      </c>
      <c r="CY1" s="31">
        <f t="shared" si="0"/>
        <v>0</v>
      </c>
      <c r="CZ1" s="31">
        <f t="shared" si="0"/>
        <v>0</v>
      </c>
      <c r="DA1" s="31">
        <f>IF(AND(DE13=1,CZ1=0),1,0)</f>
        <v>0</v>
      </c>
      <c r="DB1" s="31">
        <f>IF(AND(DC13=1,DA1=0),1,0)</f>
        <v>0</v>
      </c>
      <c r="DC1" s="31">
        <v>0</v>
      </c>
      <c r="DD1" s="31"/>
      <c r="DE1" s="31">
        <f>IF(OR(CQ1=1,CR1=1,CS1=1,CT1=1,CU1=1,CV1=1,CW1=1,CX1=1,CY1=1,CZ1=1,DA1=1,DB1=1),1,0)</f>
        <v>0</v>
      </c>
      <c r="DF1" s="31">
        <f>IF(DE1=0,cad1,IF(CO1&lt;0,cad1*EXP(DG1/cad1),IF(CO1&gt;0,#REF!+ABS(CO1))))</f>
        <v>100</v>
      </c>
      <c r="DG1" s="30">
        <f>E15</f>
        <v>0</v>
      </c>
      <c r="DH1" s="32">
        <f>IF(DF1&gt;cad1,cad1,DF1)</f>
        <v>100</v>
      </c>
      <c r="DI1" s="32">
        <f>DH1-cad1</f>
        <v>0</v>
      </c>
      <c r="DJ1" s="30">
        <f>IF(CO1&gt;0,CN1,CM1+ABS(DI1))</f>
        <v>0</v>
      </c>
      <c r="DK1" s="30">
        <f>CN1-DJ1</f>
        <v>0</v>
      </c>
      <c r="DL1" s="30">
        <f>IF(DH1&lt;cad1,0,IF(DH1=cad1,CO1-DI1))</f>
        <v>0</v>
      </c>
      <c r="DM1" s="33"/>
      <c r="DN1" s="30"/>
      <c r="DO1" s="33"/>
      <c r="DP1" s="28" t="s">
        <v>44</v>
      </c>
    </row>
    <row r="2" spans="1:120" ht="18">
      <c r="A2" s="69"/>
      <c r="B2" s="234" t="s">
        <v>0</v>
      </c>
      <c r="C2" s="235"/>
      <c r="D2" s="235"/>
      <c r="E2" s="236"/>
      <c r="F2" s="236"/>
      <c r="G2" s="236"/>
      <c r="H2" s="236"/>
      <c r="I2" s="48"/>
      <c r="J2" s="77"/>
      <c r="K2" s="78"/>
      <c r="L2" s="79"/>
      <c r="M2" s="80"/>
      <c r="N2" s="81"/>
      <c r="O2" s="79"/>
      <c r="P2" s="79"/>
      <c r="Q2" s="16"/>
      <c r="R2" s="16"/>
      <c r="S2" s="16"/>
      <c r="T2" s="16"/>
      <c r="U2" s="16"/>
      <c r="V2" s="16"/>
      <c r="W2" s="16"/>
      <c r="X2" s="16"/>
      <c r="Y2" s="16"/>
      <c r="Z2" s="16"/>
      <c r="AA2" s="69"/>
      <c r="AB2" s="16"/>
      <c r="AC2" s="51"/>
      <c r="AD2" s="51"/>
      <c r="AE2" s="16"/>
      <c r="AF2" s="16"/>
      <c r="AG2" s="74"/>
      <c r="AH2" s="74"/>
      <c r="AI2" s="74"/>
      <c r="AJ2" s="74"/>
      <c r="AK2" s="74"/>
      <c r="AL2" s="74"/>
      <c r="AM2" s="74"/>
      <c r="AN2" s="74"/>
      <c r="AO2" s="74"/>
      <c r="AP2" s="51"/>
      <c r="AQ2" s="51"/>
      <c r="AR2" s="51"/>
      <c r="AS2" s="69"/>
      <c r="AT2" s="4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83"/>
      <c r="CN2" s="33"/>
      <c r="CO2" s="33"/>
      <c r="CP2" s="33"/>
      <c r="CQ2" s="30"/>
      <c r="CR2" s="30"/>
      <c r="CS2" s="30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0">
        <f>IF(E15&lt;&gt;"-",E15,IF(DE2=0,0,IF(CO2&lt;0,CO2,IF(CO2&gt;0,cad1*LN(DH2/cad1)))))</f>
        <v>0</v>
      </c>
      <c r="DH2" s="33"/>
      <c r="DI2" s="33"/>
      <c r="DJ2" s="33"/>
      <c r="DK2" s="33"/>
      <c r="DL2" s="33"/>
      <c r="DM2" s="30"/>
      <c r="DN2" s="30"/>
      <c r="DO2" s="33"/>
      <c r="DP2" s="4" t="s">
        <v>95</v>
      </c>
    </row>
    <row r="3" spans="1:119" ht="6.75" customHeight="1">
      <c r="A3" s="69"/>
      <c r="B3" s="219"/>
      <c r="C3" s="219"/>
      <c r="D3" s="219"/>
      <c r="E3" s="220"/>
      <c r="F3" s="220"/>
      <c r="G3" s="220"/>
      <c r="H3" s="220"/>
      <c r="I3" s="48"/>
      <c r="J3" s="77"/>
      <c r="K3" s="78"/>
      <c r="L3" s="79"/>
      <c r="M3" s="80"/>
      <c r="N3" s="81"/>
      <c r="O3" s="79"/>
      <c r="P3" s="79"/>
      <c r="Q3" s="16"/>
      <c r="R3" s="16"/>
      <c r="S3" s="16"/>
      <c r="T3" s="16"/>
      <c r="U3" s="16"/>
      <c r="V3" s="16"/>
      <c r="W3" s="16"/>
      <c r="X3" s="16"/>
      <c r="Y3" s="16"/>
      <c r="Z3" s="16"/>
      <c r="AA3" s="69"/>
      <c r="AB3" s="16"/>
      <c r="AC3" s="51"/>
      <c r="AD3" s="51"/>
      <c r="AE3" s="16"/>
      <c r="AF3" s="16"/>
      <c r="AG3" s="74"/>
      <c r="AH3" s="74"/>
      <c r="AI3" s="74"/>
      <c r="AJ3" s="74"/>
      <c r="AK3" s="74"/>
      <c r="AL3" s="74"/>
      <c r="AM3" s="74"/>
      <c r="AN3" s="74"/>
      <c r="AO3" s="74"/>
      <c r="AP3" s="51"/>
      <c r="AQ3" s="51"/>
      <c r="AR3" s="51"/>
      <c r="AS3" s="69"/>
      <c r="AT3" s="4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83"/>
      <c r="CN3" s="33"/>
      <c r="CO3" s="33"/>
      <c r="CP3" s="33"/>
      <c r="CQ3" s="30"/>
      <c r="CR3" s="30"/>
      <c r="CS3" s="30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3"/>
      <c r="DH3" s="33"/>
      <c r="DI3" s="33"/>
      <c r="DJ3" s="33"/>
      <c r="DK3" s="33"/>
      <c r="DL3" s="33"/>
      <c r="DM3" s="30"/>
      <c r="DN3" s="30"/>
      <c r="DO3" s="33"/>
    </row>
    <row r="4" spans="1:119" ht="15.75">
      <c r="A4" s="69"/>
      <c r="B4" s="219"/>
      <c r="C4" s="219"/>
      <c r="D4" s="221"/>
      <c r="E4" s="222" t="s">
        <v>45</v>
      </c>
      <c r="F4" s="220"/>
      <c r="G4" s="220"/>
      <c r="H4" s="220"/>
      <c r="I4" s="48"/>
      <c r="J4" s="77"/>
      <c r="K4" s="69"/>
      <c r="L4" s="74"/>
      <c r="M4" s="80"/>
      <c r="N4" s="81"/>
      <c r="O4" s="79"/>
      <c r="P4" s="79"/>
      <c r="Q4" s="16"/>
      <c r="R4" s="16"/>
      <c r="S4" s="16"/>
      <c r="T4" s="16"/>
      <c r="U4" s="16"/>
      <c r="V4" s="16"/>
      <c r="W4" s="16"/>
      <c r="X4" s="16"/>
      <c r="Y4" s="16"/>
      <c r="Z4" s="16"/>
      <c r="AA4" s="69"/>
      <c r="AB4" s="16"/>
      <c r="AC4" s="51"/>
      <c r="AD4" s="51"/>
      <c r="AE4" s="16"/>
      <c r="AF4" s="16"/>
      <c r="AG4" s="74"/>
      <c r="AH4" s="74"/>
      <c r="AI4" s="74"/>
      <c r="AJ4" s="74"/>
      <c r="AK4" s="74"/>
      <c r="AL4" s="74"/>
      <c r="AM4" s="74"/>
      <c r="AN4" s="74"/>
      <c r="AO4" s="74"/>
      <c r="AP4" s="51"/>
      <c r="AQ4" s="51"/>
      <c r="AR4" s="51"/>
      <c r="AS4" s="69"/>
      <c r="AT4" s="4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83"/>
      <c r="CI4" s="47" t="s">
        <v>46</v>
      </c>
      <c r="CN4" s="33"/>
      <c r="CO4" s="33"/>
      <c r="CP4" s="33"/>
      <c r="CQ4" s="30"/>
      <c r="CR4" s="30"/>
      <c r="CS4" s="30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3"/>
      <c r="DH4" s="33"/>
      <c r="DI4" s="33"/>
      <c r="DJ4" s="33"/>
      <c r="DK4" s="33"/>
      <c r="DL4" s="33"/>
      <c r="DM4" s="30"/>
      <c r="DN4" s="30"/>
      <c r="DO4" s="33"/>
    </row>
    <row r="5" spans="1:119" ht="15">
      <c r="A5" s="69"/>
      <c r="B5" s="219"/>
      <c r="C5" s="219"/>
      <c r="D5" s="221"/>
      <c r="E5" s="222" t="s">
        <v>47</v>
      </c>
      <c r="F5" s="220"/>
      <c r="G5" s="220"/>
      <c r="H5" s="220"/>
      <c r="I5" s="48"/>
      <c r="J5" s="78"/>
      <c r="L5" s="69"/>
      <c r="M5" s="80"/>
      <c r="N5" s="81"/>
      <c r="O5" s="79"/>
      <c r="P5" s="79"/>
      <c r="Q5" s="16"/>
      <c r="R5" s="16"/>
      <c r="S5" s="16"/>
      <c r="T5" s="16"/>
      <c r="U5" s="16"/>
      <c r="V5" s="16"/>
      <c r="W5" s="16"/>
      <c r="X5" s="16"/>
      <c r="Y5" s="16"/>
      <c r="Z5" s="16"/>
      <c r="AA5" s="69"/>
      <c r="AB5" s="16"/>
      <c r="AC5" s="51"/>
      <c r="AD5" s="51"/>
      <c r="AE5" s="16"/>
      <c r="AF5" s="16"/>
      <c r="AG5" s="74"/>
      <c r="AH5" s="74"/>
      <c r="AI5" s="74"/>
      <c r="AJ5" s="74"/>
      <c r="AK5" s="74"/>
      <c r="AL5" s="74"/>
      <c r="AM5" s="74"/>
      <c r="AN5" s="74"/>
      <c r="AO5" s="74"/>
      <c r="AP5" s="51"/>
      <c r="AQ5" s="51"/>
      <c r="AR5" s="51"/>
      <c r="AS5" s="69"/>
      <c r="AT5" s="4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83"/>
      <c r="CN5" s="33"/>
      <c r="CO5" s="33"/>
      <c r="CP5" s="33"/>
      <c r="CQ5" s="30"/>
      <c r="CR5" s="30"/>
      <c r="CS5" s="30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3"/>
      <c r="DH5" s="33"/>
      <c r="DI5" s="33"/>
      <c r="DJ5" s="33"/>
      <c r="DK5" s="33"/>
      <c r="DL5" s="33"/>
      <c r="DM5" s="30"/>
      <c r="DN5" s="30"/>
      <c r="DO5" s="33"/>
    </row>
    <row r="6" spans="1:119" ht="15">
      <c r="A6" s="69"/>
      <c r="B6" s="223"/>
      <c r="C6" s="219"/>
      <c r="D6" s="224"/>
      <c r="E6" s="225" t="s">
        <v>76</v>
      </c>
      <c r="F6" s="226"/>
      <c r="G6" s="219"/>
      <c r="H6" s="227"/>
      <c r="I6" s="50"/>
      <c r="J6" s="82"/>
      <c r="K6" s="82"/>
      <c r="L6" s="79"/>
      <c r="M6" s="80"/>
      <c r="N6" s="81"/>
      <c r="O6" s="79"/>
      <c r="P6" s="79"/>
      <c r="Q6" s="16"/>
      <c r="R6" s="16"/>
      <c r="S6" s="16"/>
      <c r="T6" s="16"/>
      <c r="U6" s="16"/>
      <c r="V6" s="16"/>
      <c r="W6" s="16"/>
      <c r="X6" s="16"/>
      <c r="Y6" s="16"/>
      <c r="Z6" s="16"/>
      <c r="AA6" s="69"/>
      <c r="AB6" s="16"/>
      <c r="AC6" s="51"/>
      <c r="AD6" s="51"/>
      <c r="AE6" s="16"/>
      <c r="AF6" s="16"/>
      <c r="AG6" s="74"/>
      <c r="AH6" s="74"/>
      <c r="AI6" s="74"/>
      <c r="AJ6" s="74"/>
      <c r="AK6" s="74"/>
      <c r="AL6" s="74"/>
      <c r="AM6" s="74"/>
      <c r="AN6" s="74"/>
      <c r="AO6" s="74"/>
      <c r="AP6" s="51"/>
      <c r="AQ6" s="51"/>
      <c r="AR6" s="51"/>
      <c r="AS6" s="69"/>
      <c r="AT6" s="4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83"/>
      <c r="CN6" s="33"/>
      <c r="CO6" s="33"/>
      <c r="CP6" s="33" t="s">
        <v>93</v>
      </c>
      <c r="CQ6" s="30"/>
      <c r="CR6" s="30"/>
      <c r="CS6" s="30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3"/>
      <c r="DH6" s="33"/>
      <c r="DI6" s="33"/>
      <c r="DJ6" s="33"/>
      <c r="DK6" s="33"/>
      <c r="DL6" s="33"/>
      <c r="DM6" s="30"/>
      <c r="DN6" s="30"/>
      <c r="DO6" s="33"/>
    </row>
    <row r="7" spans="1:119" ht="12.75" customHeight="1">
      <c r="A7" s="69"/>
      <c r="B7" s="219"/>
      <c r="C7" s="219"/>
      <c r="D7" s="228" t="s">
        <v>77</v>
      </c>
      <c r="E7" s="229"/>
      <c r="F7" s="219"/>
      <c r="G7" s="219"/>
      <c r="H7" s="253" t="s">
        <v>109</v>
      </c>
      <c r="I7" s="73"/>
      <c r="J7" s="81"/>
      <c r="K7" s="81"/>
      <c r="L7" s="81"/>
      <c r="M7" s="81"/>
      <c r="N7" s="81"/>
      <c r="O7" s="81"/>
      <c r="P7" s="81"/>
      <c r="Q7" s="49"/>
      <c r="R7" s="49"/>
      <c r="S7" s="49"/>
      <c r="T7" s="49"/>
      <c r="U7" s="49"/>
      <c r="V7" s="49"/>
      <c r="W7" s="49"/>
      <c r="X7" s="49"/>
      <c r="Y7" s="49"/>
      <c r="Z7" s="4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8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</row>
    <row r="8" spans="1:119" ht="12.75" customHeight="1">
      <c r="A8" s="69"/>
      <c r="B8" s="69"/>
      <c r="C8" s="69"/>
      <c r="D8" s="69"/>
      <c r="E8" s="69"/>
      <c r="F8" s="69"/>
      <c r="G8" s="69"/>
      <c r="H8" s="69"/>
      <c r="I8" s="72"/>
      <c r="J8" s="69"/>
      <c r="K8" s="49"/>
      <c r="L8" s="49"/>
      <c r="M8" s="51"/>
      <c r="N8" s="51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8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</row>
    <row r="9" spans="1:118" ht="15.75" customHeight="1">
      <c r="A9" s="69"/>
      <c r="B9" s="237" t="s">
        <v>1</v>
      </c>
      <c r="C9" s="254" t="s">
        <v>110</v>
      </c>
      <c r="D9" s="254"/>
      <c r="E9" s="255"/>
      <c r="F9" s="69"/>
      <c r="G9" s="237" t="s">
        <v>2</v>
      </c>
      <c r="H9" s="239">
        <v>-22.93</v>
      </c>
      <c r="J9" s="243" t="s">
        <v>6</v>
      </c>
      <c r="K9" s="244">
        <v>111</v>
      </c>
      <c r="L9" s="69"/>
      <c r="M9" s="69"/>
      <c r="N9" s="6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83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M9" s="15"/>
      <c r="DN9" s="15"/>
    </row>
    <row r="10" spans="1:110" ht="4.5" customHeight="1">
      <c r="A10" s="69"/>
      <c r="B10" s="69"/>
      <c r="C10" s="69"/>
      <c r="D10" s="69"/>
      <c r="E10" s="69"/>
      <c r="F10" s="69"/>
      <c r="G10" s="69"/>
      <c r="H10" s="69"/>
      <c r="I10" s="69"/>
      <c r="J10" s="49"/>
      <c r="K10" s="245"/>
      <c r="L10" s="69"/>
      <c r="M10" s="69"/>
      <c r="N10" s="69"/>
      <c r="O10" s="65"/>
      <c r="P10" s="65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6"/>
      <c r="AB10" s="71"/>
      <c r="AC10" s="51"/>
      <c r="AD10" s="51"/>
      <c r="AE10" s="16"/>
      <c r="AF10" s="16"/>
      <c r="AG10" s="51"/>
      <c r="AH10" s="51"/>
      <c r="AI10" s="51"/>
      <c r="AJ10" s="51"/>
      <c r="AK10" s="51"/>
      <c r="AL10" s="51"/>
      <c r="AM10" s="51"/>
      <c r="AN10" s="51"/>
      <c r="AO10" s="74"/>
      <c r="AP10" s="51"/>
      <c r="AQ10" s="51"/>
      <c r="AR10" s="51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83"/>
      <c r="CQ10" s="30">
        <f>IF(C11&lt;0,-C11,C11)</f>
        <v>100</v>
      </c>
      <c r="CR10" s="34"/>
      <c r="CS10" s="30" t="str">
        <f>IF(E14&lt;=0,0.00001,E14)</f>
        <v>=</v>
      </c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6.5" customHeight="1">
      <c r="A11" s="69"/>
      <c r="B11" s="237" t="s">
        <v>5</v>
      </c>
      <c r="C11" s="238">
        <v>100</v>
      </c>
      <c r="D11" s="49"/>
      <c r="E11" s="49"/>
      <c r="G11" s="240" t="s">
        <v>4</v>
      </c>
      <c r="H11" s="241"/>
      <c r="J11" s="243" t="s">
        <v>9</v>
      </c>
      <c r="K11" s="244">
        <v>2.5</v>
      </c>
      <c r="L11" s="69"/>
      <c r="M11" s="69"/>
      <c r="N11" s="69"/>
      <c r="O11" s="49"/>
      <c r="P11" s="49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71"/>
      <c r="AC11" s="51"/>
      <c r="AD11" s="51"/>
      <c r="AE11" s="16"/>
      <c r="AF11" s="16"/>
      <c r="AG11" s="51"/>
      <c r="AH11" s="51"/>
      <c r="AI11" s="51"/>
      <c r="AJ11" s="51"/>
      <c r="AK11" s="51"/>
      <c r="AL11" s="51"/>
      <c r="AM11" s="51"/>
      <c r="AN11" s="51"/>
      <c r="AO11" s="74"/>
      <c r="AP11" s="51"/>
      <c r="AQ11" s="51"/>
      <c r="AR11" s="51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83"/>
      <c r="CQ11" s="33"/>
      <c r="CR11" s="33"/>
      <c r="CS11" s="33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</row>
    <row r="12" spans="1:110" ht="4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71"/>
      <c r="AC12" s="51"/>
      <c r="AD12" s="51"/>
      <c r="AE12" s="16"/>
      <c r="AF12" s="16"/>
      <c r="AG12" s="51"/>
      <c r="AH12" s="51"/>
      <c r="AI12" s="51"/>
      <c r="AJ12" s="51"/>
      <c r="AK12" s="51"/>
      <c r="AL12" s="51"/>
      <c r="AM12" s="51"/>
      <c r="AN12" s="51"/>
      <c r="AO12" s="74"/>
      <c r="AP12" s="51"/>
      <c r="AQ12" s="51"/>
      <c r="AR12" s="51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83"/>
      <c r="CQ12" s="30">
        <f>IF(E14&lt;&gt;"=",CS10,cad1)</f>
        <v>100</v>
      </c>
      <c r="CR12" s="30"/>
      <c r="CS12" s="30" t="s">
        <v>8</v>
      </c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>
        <f>IF(E14="=",cad1,CS10)</f>
        <v>100</v>
      </c>
    </row>
    <row r="13" spans="1:110" ht="15.75">
      <c r="A13" s="69"/>
      <c r="B13" s="129" t="s">
        <v>80</v>
      </c>
      <c r="C13" s="113"/>
      <c r="D13" s="62"/>
      <c r="E13" s="110"/>
      <c r="F13" s="69"/>
      <c r="G13" s="242" t="s">
        <v>82</v>
      </c>
      <c r="H13" s="238">
        <v>1</v>
      </c>
      <c r="J13" s="69"/>
      <c r="K13" s="63"/>
      <c r="L13" s="63"/>
      <c r="M13" s="64"/>
      <c r="N13" s="7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71"/>
      <c r="AC13" s="51"/>
      <c r="AD13" s="51"/>
      <c r="AE13" s="16"/>
      <c r="AF13" s="16"/>
      <c r="AG13" s="51"/>
      <c r="AH13" s="51"/>
      <c r="AI13" s="51"/>
      <c r="AJ13" s="51"/>
      <c r="AK13" s="51"/>
      <c r="AL13" s="51"/>
      <c r="AM13" s="51"/>
      <c r="AN13" s="51"/>
      <c r="AO13" s="74"/>
      <c r="AP13" s="51"/>
      <c r="AQ13" s="51"/>
      <c r="AR13" s="51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83"/>
      <c r="CQ13" s="33"/>
      <c r="CR13" s="33"/>
      <c r="CS13" s="33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</row>
    <row r="14" spans="1:118" ht="15.75">
      <c r="A14" s="69"/>
      <c r="B14" s="128" t="s">
        <v>3</v>
      </c>
      <c r="C14" s="3"/>
      <c r="D14" s="114"/>
      <c r="E14" s="111" t="s">
        <v>111</v>
      </c>
      <c r="F14" s="70"/>
      <c r="G14" s="69"/>
      <c r="H14" s="69"/>
      <c r="I14" s="69"/>
      <c r="K14" s="70"/>
      <c r="L14" s="70"/>
      <c r="M14" s="69"/>
      <c r="N14" s="48"/>
      <c r="O14" s="16"/>
      <c r="P14" s="16"/>
      <c r="Q14" s="16"/>
      <c r="R14" s="16"/>
      <c r="S14" s="16"/>
      <c r="T14" s="69"/>
      <c r="U14" s="16"/>
      <c r="V14" s="16"/>
      <c r="W14" s="16"/>
      <c r="X14" s="16"/>
      <c r="Y14" s="16"/>
      <c r="Z14" s="16"/>
      <c r="AA14" s="69"/>
      <c r="AB14" s="71"/>
      <c r="AC14" s="51"/>
      <c r="AD14" s="51"/>
      <c r="AE14" s="16"/>
      <c r="AF14" s="16"/>
      <c r="AG14" s="51"/>
      <c r="AH14" s="51"/>
      <c r="AI14" s="51"/>
      <c r="AJ14" s="51"/>
      <c r="AK14" s="51"/>
      <c r="AL14" s="51"/>
      <c r="AM14" s="51"/>
      <c r="AN14" s="51"/>
      <c r="AO14" s="74"/>
      <c r="AP14" s="51"/>
      <c r="AQ14" s="51"/>
      <c r="AR14" s="51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83"/>
      <c r="CQ14" s="28"/>
      <c r="CR14" s="28"/>
      <c r="CS14" s="28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M14" s="36"/>
      <c r="DN14" s="37" t="s">
        <v>7</v>
      </c>
    </row>
    <row r="15" spans="1:118" ht="15.75">
      <c r="A15" s="69"/>
      <c r="B15" s="230" t="s">
        <v>72</v>
      </c>
      <c r="C15" s="231"/>
      <c r="D15" s="232"/>
      <c r="E15" s="233">
        <f>IF(E14&lt;&gt;"=",C11*LN(CS10/C11),0)</f>
        <v>0</v>
      </c>
      <c r="F15" s="70"/>
      <c r="G15" s="237" t="s">
        <v>71</v>
      </c>
      <c r="H15" s="246"/>
      <c r="I15" s="247">
        <v>24</v>
      </c>
      <c r="J15" s="248"/>
      <c r="K15" s="70"/>
      <c r="L15" s="70"/>
      <c r="M15" s="69"/>
      <c r="N15" s="48"/>
      <c r="O15" s="16"/>
      <c r="P15" s="16"/>
      <c r="Q15" s="16"/>
      <c r="R15" s="16"/>
      <c r="S15" s="16"/>
      <c r="T15" s="69"/>
      <c r="U15" s="16"/>
      <c r="V15" s="16"/>
      <c r="W15" s="16"/>
      <c r="X15" s="16"/>
      <c r="Y15" s="16"/>
      <c r="Z15" s="16"/>
      <c r="AA15" s="69"/>
      <c r="AB15" s="71"/>
      <c r="AC15" s="51"/>
      <c r="AD15" s="51"/>
      <c r="AE15" s="16"/>
      <c r="AF15" s="16"/>
      <c r="AG15" s="51"/>
      <c r="AH15" s="51"/>
      <c r="AI15" s="51"/>
      <c r="AJ15" s="51"/>
      <c r="AK15" s="51"/>
      <c r="AL15" s="51"/>
      <c r="AM15" s="51"/>
      <c r="AN15" s="51"/>
      <c r="AO15" s="74"/>
      <c r="AP15" s="51"/>
      <c r="AQ15" s="51"/>
      <c r="AR15" s="51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83"/>
      <c r="CQ15" s="28"/>
      <c r="CR15" s="28"/>
      <c r="CS15" s="28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M15" s="36"/>
      <c r="DN15" s="37"/>
    </row>
    <row r="16" spans="1:118" ht="13.5" thickBot="1">
      <c r="A16" s="69"/>
      <c r="B16" s="123"/>
      <c r="C16" s="123"/>
      <c r="D16" s="124"/>
      <c r="E16" s="124"/>
      <c r="F16" s="122"/>
      <c r="G16" s="122"/>
      <c r="H16" s="122"/>
      <c r="I16" s="122"/>
      <c r="J16" s="122"/>
      <c r="K16" s="122"/>
      <c r="L16" s="122"/>
      <c r="M16" s="123"/>
      <c r="N16" s="125"/>
      <c r="O16" s="126"/>
      <c r="P16" s="127" t="s">
        <v>10</v>
      </c>
      <c r="Q16" s="127"/>
      <c r="R16" s="127"/>
      <c r="S16" s="127"/>
      <c r="T16" s="69"/>
      <c r="U16" s="16"/>
      <c r="V16" s="16"/>
      <c r="W16" s="16"/>
      <c r="X16" s="16"/>
      <c r="Y16" s="16"/>
      <c r="Z16" s="16"/>
      <c r="AA16" s="69"/>
      <c r="AB16" s="71"/>
      <c r="AC16" s="51"/>
      <c r="AD16" s="51"/>
      <c r="AE16" s="16"/>
      <c r="AF16" s="16"/>
      <c r="AG16" s="51"/>
      <c r="AH16" s="51"/>
      <c r="AI16" s="51"/>
      <c r="AJ16" s="51"/>
      <c r="AK16" s="51"/>
      <c r="AL16" s="51"/>
      <c r="AM16" s="51"/>
      <c r="AN16" s="51"/>
      <c r="AO16" s="74"/>
      <c r="AP16" s="51"/>
      <c r="AQ16" s="51"/>
      <c r="AR16" s="51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83"/>
      <c r="CQ16" s="28"/>
      <c r="CR16" s="28"/>
      <c r="CS16" s="28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M16" s="36"/>
      <c r="DN16" s="37"/>
    </row>
    <row r="17" spans="1:119" ht="15.75">
      <c r="A17" s="69"/>
      <c r="B17" s="130" t="s">
        <v>11</v>
      </c>
      <c r="C17" s="131" t="s">
        <v>12</v>
      </c>
      <c r="D17" s="180" t="s">
        <v>33</v>
      </c>
      <c r="E17" s="132" t="s">
        <v>13</v>
      </c>
      <c r="F17" s="133" t="s">
        <v>14</v>
      </c>
      <c r="G17" s="134" t="s">
        <v>15</v>
      </c>
      <c r="H17" s="133" t="s">
        <v>16</v>
      </c>
      <c r="I17" s="133" t="s">
        <v>17</v>
      </c>
      <c r="J17" s="133" t="s">
        <v>18</v>
      </c>
      <c r="K17" s="132" t="s">
        <v>19</v>
      </c>
      <c r="L17" s="132" t="s">
        <v>20</v>
      </c>
      <c r="M17" s="133" t="s">
        <v>21</v>
      </c>
      <c r="N17" s="133" t="s">
        <v>22</v>
      </c>
      <c r="O17" s="133" t="s">
        <v>23</v>
      </c>
      <c r="P17" s="194" t="s">
        <v>94</v>
      </c>
      <c r="Q17" s="193"/>
      <c r="R17" s="193" t="s">
        <v>24</v>
      </c>
      <c r="S17" s="144">
        <f>H9</f>
        <v>-22.93</v>
      </c>
      <c r="T17" s="144"/>
      <c r="U17" s="145"/>
      <c r="V17" s="145"/>
      <c r="W17" s="145"/>
      <c r="X17" s="146"/>
      <c r="Y17" s="69"/>
      <c r="Z17" s="67"/>
      <c r="AA17" s="86" t="s">
        <v>42</v>
      </c>
      <c r="AB17" s="87"/>
      <c r="AC17" s="88"/>
      <c r="AD17" s="68"/>
      <c r="AE17" s="89"/>
      <c r="AF17" s="69"/>
      <c r="AG17" s="69"/>
      <c r="AH17" s="69"/>
      <c r="AI17" s="89"/>
      <c r="AJ17" s="89"/>
      <c r="AK17" s="89"/>
      <c r="AL17" s="89"/>
      <c r="AM17" s="89"/>
      <c r="AN17" s="89"/>
      <c r="AO17" s="89"/>
      <c r="AP17" s="90" t="s">
        <v>48</v>
      </c>
      <c r="AQ17" s="91" t="s">
        <v>14</v>
      </c>
      <c r="AR17" s="92" t="s">
        <v>16</v>
      </c>
      <c r="AS17" s="93" t="s">
        <v>21</v>
      </c>
      <c r="AT17" s="4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86" t="s">
        <v>42</v>
      </c>
      <c r="BF17" s="87"/>
      <c r="BG17" s="88"/>
      <c r="BH17" s="69"/>
      <c r="BI17" s="69"/>
      <c r="BJ17" s="69"/>
      <c r="BK17" s="69"/>
      <c r="BL17" s="69"/>
      <c r="BM17" s="69"/>
      <c r="BN17" s="69"/>
      <c r="BO17" s="69"/>
      <c r="BP17" s="69"/>
      <c r="BQ17" s="94"/>
      <c r="BR17" s="95"/>
      <c r="BS17" s="95"/>
      <c r="BT17" s="95"/>
      <c r="BU17" s="96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83"/>
      <c r="CK17" s="106">
        <f>LARGE(CK19:CK44,1)</f>
        <v>24</v>
      </c>
      <c r="CQ17" s="38" t="s">
        <v>25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 t="s">
        <v>26</v>
      </c>
      <c r="DD17" s="38" t="s">
        <v>27</v>
      </c>
      <c r="DE17" s="38" t="s">
        <v>7</v>
      </c>
      <c r="DF17" s="38" t="s">
        <v>19</v>
      </c>
      <c r="DG17" s="39"/>
      <c r="DH17" s="39" t="s">
        <v>108</v>
      </c>
      <c r="DI17" s="39"/>
      <c r="DJ17" s="132" t="s">
        <v>19</v>
      </c>
      <c r="DK17" s="135" t="s">
        <v>23</v>
      </c>
      <c r="DL17" s="39"/>
      <c r="DM17" s="40" t="s">
        <v>28</v>
      </c>
      <c r="DN17" s="40" t="s">
        <v>28</v>
      </c>
      <c r="DO17" s="41"/>
    </row>
    <row r="18" spans="1:119" ht="24" thickBot="1">
      <c r="A18" s="69"/>
      <c r="B18" s="136" t="s">
        <v>100</v>
      </c>
      <c r="C18" s="137" t="s">
        <v>29</v>
      </c>
      <c r="D18" s="181"/>
      <c r="E18" s="138" t="s">
        <v>81</v>
      </c>
      <c r="F18" s="139" t="s">
        <v>30</v>
      </c>
      <c r="G18" s="140" t="s">
        <v>31</v>
      </c>
      <c r="H18" s="141" t="s">
        <v>32</v>
      </c>
      <c r="I18" s="139" t="s">
        <v>30</v>
      </c>
      <c r="J18" s="139"/>
      <c r="K18" s="142" t="s">
        <v>30</v>
      </c>
      <c r="L18" s="142" t="s">
        <v>30</v>
      </c>
      <c r="M18" s="139" t="s">
        <v>30</v>
      </c>
      <c r="N18" s="139" t="s">
        <v>30</v>
      </c>
      <c r="O18" s="139" t="s">
        <v>30</v>
      </c>
      <c r="P18" s="195" t="s">
        <v>5</v>
      </c>
      <c r="Q18" s="182"/>
      <c r="R18" s="148" t="s">
        <v>34</v>
      </c>
      <c r="S18" s="147" t="s">
        <v>35</v>
      </c>
      <c r="T18" s="147" t="s">
        <v>15</v>
      </c>
      <c r="U18" s="149"/>
      <c r="V18" s="149"/>
      <c r="W18" s="149"/>
      <c r="X18" s="150"/>
      <c r="Y18" s="69"/>
      <c r="Z18" s="67"/>
      <c r="AA18" s="97" t="str">
        <f>B18</f>
        <v>Mês</v>
      </c>
      <c r="AB18" s="98" t="s">
        <v>43</v>
      </c>
      <c r="AC18" s="99" t="s">
        <v>23</v>
      </c>
      <c r="AD18" s="68"/>
      <c r="AE18" s="89"/>
      <c r="AF18" s="69"/>
      <c r="AG18" s="69"/>
      <c r="AH18" s="69"/>
      <c r="AI18" s="89"/>
      <c r="AJ18" s="89"/>
      <c r="AK18" s="89"/>
      <c r="AL18" s="89"/>
      <c r="AM18" s="89"/>
      <c r="AN18" s="89"/>
      <c r="AO18" s="89"/>
      <c r="AP18" s="100" t="s">
        <v>11</v>
      </c>
      <c r="AQ18" s="101" t="s">
        <v>30</v>
      </c>
      <c r="AR18" s="102" t="s">
        <v>49</v>
      </c>
      <c r="AS18" s="103" t="s">
        <v>30</v>
      </c>
      <c r="AT18" s="4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97" t="s">
        <v>11</v>
      </c>
      <c r="BF18" s="98" t="s">
        <v>5</v>
      </c>
      <c r="BG18" s="99" t="s">
        <v>19</v>
      </c>
      <c r="BH18" s="69"/>
      <c r="BI18" s="69"/>
      <c r="BJ18" s="69"/>
      <c r="BK18" s="69"/>
      <c r="BL18" s="69"/>
      <c r="BM18" s="69"/>
      <c r="BN18" s="69"/>
      <c r="BO18" s="69"/>
      <c r="BP18" s="69"/>
      <c r="BQ18" s="75" t="s">
        <v>68</v>
      </c>
      <c r="BR18" s="104" t="s">
        <v>23</v>
      </c>
      <c r="BS18" s="104" t="s">
        <v>22</v>
      </c>
      <c r="BT18" s="104" t="s">
        <v>69</v>
      </c>
      <c r="BU18" s="105" t="s">
        <v>70</v>
      </c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83"/>
      <c r="CK18" s="107">
        <v>0</v>
      </c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 t="s">
        <v>36</v>
      </c>
      <c r="DE18" s="38"/>
      <c r="DF18" s="38" t="s">
        <v>37</v>
      </c>
      <c r="DG18" s="39"/>
      <c r="DH18" s="39"/>
      <c r="DI18" s="39"/>
      <c r="DJ18" s="142" t="s">
        <v>30</v>
      </c>
      <c r="DK18" s="143" t="s">
        <v>30</v>
      </c>
      <c r="DL18" s="39"/>
      <c r="DM18" s="42" t="s">
        <v>38</v>
      </c>
      <c r="DN18" s="42" t="s">
        <v>39</v>
      </c>
      <c r="DO18" s="38"/>
    </row>
    <row r="19" spans="1:128" ht="14.25">
      <c r="A19" s="69"/>
      <c r="B19" s="151" t="s">
        <v>101</v>
      </c>
      <c r="C19" s="152">
        <v>31</v>
      </c>
      <c r="D19" s="186">
        <f>IF(H13&lt;1,1,IF(H13&gt;365,365,H13))</f>
        <v>1</v>
      </c>
      <c r="E19" s="153">
        <v>23.1</v>
      </c>
      <c r="F19" s="249">
        <v>240.2</v>
      </c>
      <c r="G19" s="154">
        <f aca="true" t="shared" si="1" ref="G19:G30">T19</f>
        <v>13.380060663306242</v>
      </c>
      <c r="H19" s="252">
        <f>IF(E19&lt;26.5,16*((10*(E19/$K$9))^$K$11)*(T19/12)*(C19/30),(-415.85+32.24*E19-0.43*E19^2)*(T19/12)*(C19/30))</f>
        <v>115.17540841653009</v>
      </c>
      <c r="I19" s="155">
        <f aca="true" t="shared" si="2" ref="I19:I30">IF(DO19=1,F19-H19,"")</f>
        <v>125.0245915834699</v>
      </c>
      <c r="J19" s="155">
        <f>IF(DO19=1,IF(DE19=0,0,IF(I19&lt;0,DG1+I19,IF(I19&gt;=0,cad1*LN(DJ19/cad1)))),"")</f>
        <v>0</v>
      </c>
      <c r="K19" s="251">
        <f>IF(DH19&gt;=0,DJ19,DJ20+DH20)</f>
        <v>100</v>
      </c>
      <c r="L19" s="156">
        <f>IF(DO19=1,DJ19-CQ12,"")</f>
        <v>0</v>
      </c>
      <c r="M19" s="155">
        <f>IF(DO19=1,IF(AND(I19&gt;=0,L19&gt;=0),H19,F19+ABS(L19)),"")</f>
        <v>115.17540841653009</v>
      </c>
      <c r="N19" s="157">
        <f aca="true" t="shared" si="3" ref="N19:N30">IF(DO19=1,H19-M19,"")</f>
        <v>0</v>
      </c>
      <c r="O19" s="251">
        <f>IF(DK19&lt;0,0,DK19)</f>
        <v>125.0245915834699</v>
      </c>
      <c r="P19" s="196">
        <f aca="true" t="shared" si="4" ref="P19:P30">DJ19*100/$C$11</f>
        <v>100</v>
      </c>
      <c r="Q19" s="179"/>
      <c r="R19" s="198">
        <f aca="true" t="shared" si="5" ref="R19:R30">23.45*SIN(RADIANS((360/365)*(D19-81)))</f>
        <v>-23.011636727869238</v>
      </c>
      <c r="S19" s="198">
        <f>ACOS(-TAN(RADIANS($H$9))*TAN(RADIANS(R19)))*180/PI()</f>
        <v>100.35045497479682</v>
      </c>
      <c r="T19" s="198">
        <f aca="true" t="shared" si="6" ref="T19:T42">2*S19/15</f>
        <v>13.380060663306242</v>
      </c>
      <c r="U19" s="199"/>
      <c r="V19" s="199"/>
      <c r="W19" s="199"/>
      <c r="X19" s="200"/>
      <c r="Y19" s="159"/>
      <c r="Z19" s="160"/>
      <c r="AA19" s="161" t="str">
        <f aca="true" t="shared" si="7" ref="AA19:AA30">IF(J19="","",B19)</f>
        <v>J</v>
      </c>
      <c r="AB19" s="160">
        <f aca="true" t="shared" si="8" ref="AB19:AB30">IF(J19="","",IF(DK19&lt;&gt;N19,N19*-1,0))</f>
        <v>0</v>
      </c>
      <c r="AC19" s="162">
        <f>IF(J19="","",IF(O19&lt;&gt;N19,O19,0))</f>
        <v>125.0245915834699</v>
      </c>
      <c r="AD19" s="160"/>
      <c r="AE19" s="163"/>
      <c r="AF19" s="159"/>
      <c r="AG19" s="159"/>
      <c r="AH19" s="159"/>
      <c r="AI19" s="163"/>
      <c r="AJ19" s="163"/>
      <c r="AK19" s="163"/>
      <c r="AL19" s="163"/>
      <c r="AM19" s="163"/>
      <c r="AN19" s="163"/>
      <c r="AO19" s="163"/>
      <c r="AP19" s="164" t="str">
        <f aca="true" t="shared" si="9" ref="AP19:AP30">IF(J19="","",B19)</f>
        <v>J</v>
      </c>
      <c r="AQ19" s="165">
        <f aca="true" t="shared" si="10" ref="AQ19:AQ30">IF(J19="","",F19)</f>
        <v>240.2</v>
      </c>
      <c r="AR19" s="165">
        <f aca="true" t="shared" si="11" ref="AR19:AR30">IF(J19="","",H19)</f>
        <v>115.17540841653009</v>
      </c>
      <c r="AS19" s="166">
        <f aca="true" t="shared" si="12" ref="AS19:AS30">IF(J19="","",M19)</f>
        <v>115.17540841653009</v>
      </c>
      <c r="AT19" s="167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61" t="str">
        <f aca="true" t="shared" si="13" ref="BE19:BE30">IF(J19="","",B19)</f>
        <v>J</v>
      </c>
      <c r="BF19" s="160">
        <f>$C$11</f>
        <v>100</v>
      </c>
      <c r="BG19" s="162">
        <f aca="true" t="shared" si="14" ref="BG19:BG30">IF(J19="","",DJ19)</f>
        <v>100</v>
      </c>
      <c r="BH19" s="159"/>
      <c r="BI19" s="159"/>
      <c r="BJ19" s="159"/>
      <c r="BK19" s="159"/>
      <c r="BL19" s="159"/>
      <c r="BM19" s="159"/>
      <c r="BN19" s="159"/>
      <c r="BO19" s="159"/>
      <c r="BP19" s="159"/>
      <c r="BQ19" s="168" t="str">
        <f aca="true" t="shared" si="15" ref="BQ19:BQ30">IF(J19="","",B19)</f>
        <v>J</v>
      </c>
      <c r="BR19" s="169">
        <f aca="true" t="shared" si="16" ref="BR19:BR30">IF(J19="","",DK19)</f>
        <v>125.0245915834699</v>
      </c>
      <c r="BS19" s="169">
        <f aca="true" t="shared" si="17" ref="BS19:BS30">IF(J19="","",N19*-1)</f>
        <v>0</v>
      </c>
      <c r="BT19" s="169">
        <f aca="true" t="shared" si="18" ref="BT19:BT30">IF(J19="","",IF(L19&lt;0,L19,0))</f>
        <v>0</v>
      </c>
      <c r="BU19" s="170">
        <f aca="true" t="shared" si="19" ref="BU19:BU30">IF(J19="","",IF(L19&gt;=0,L19,0))</f>
        <v>0</v>
      </c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83"/>
      <c r="CI19" s="4">
        <v>1</v>
      </c>
      <c r="CK19" s="28">
        <f aca="true" t="shared" si="20" ref="CK19:CK30">CK18+1</f>
        <v>1</v>
      </c>
      <c r="CQ19" s="43">
        <f aca="true" t="shared" si="21" ref="CQ19:CQ30">IF(I19&lt;0,1,0)</f>
        <v>0</v>
      </c>
      <c r="CR19" s="43">
        <f aca="true" t="shared" si="22" ref="CR19:DB19">IF(AND(CQ17=1,CQ19=0),1,0)</f>
        <v>0</v>
      </c>
      <c r="CS19" s="43">
        <f t="shared" si="22"/>
        <v>0</v>
      </c>
      <c r="CT19" s="43">
        <f t="shared" si="22"/>
        <v>0</v>
      </c>
      <c r="CU19" s="43">
        <f t="shared" si="22"/>
        <v>0</v>
      </c>
      <c r="CV19" s="43">
        <f t="shared" si="22"/>
        <v>0</v>
      </c>
      <c r="CW19" s="43">
        <f t="shared" si="22"/>
        <v>0</v>
      </c>
      <c r="CX19" s="43">
        <f t="shared" si="22"/>
        <v>0</v>
      </c>
      <c r="CY19" s="43">
        <f t="shared" si="22"/>
        <v>0</v>
      </c>
      <c r="CZ19" s="43">
        <f t="shared" si="22"/>
        <v>0</v>
      </c>
      <c r="DA19" s="43">
        <f t="shared" si="22"/>
        <v>0</v>
      </c>
      <c r="DB19" s="43">
        <f t="shared" si="22"/>
        <v>0</v>
      </c>
      <c r="DC19" s="204">
        <f>IF(AND($DN$45=1,OR(DM19=$DM$44,DC1=1)),1,0)</f>
        <v>0</v>
      </c>
      <c r="DD19" s="43">
        <f aca="true" t="shared" si="23" ref="DD19:DD30">IF(AND(DC19=1,DC18=0),I19,0)</f>
        <v>0</v>
      </c>
      <c r="DE19" s="43">
        <f>IF(OR(CQ19=1,CR19=1,CS19=1,CT19=1,CU19=1,CV19=1,CW19=1,CX19=1,CY19=1,CZ19=1,DA19=1,DB19=1,DC19=1,AND(I19&gt;0,CQ12&lt;&gt;0)),1,0)</f>
        <v>1</v>
      </c>
      <c r="DF19" s="250">
        <f>IF(DO19=1,IF(DE19=0,IF($DN$45=1,$DD$44,cad1),IF(I19&lt;0,cad1*EXP(J19/cad1),IF(I19&gt;0,DF1+I19))),"")</f>
        <v>225.02459158346988</v>
      </c>
      <c r="DG19" s="44"/>
      <c r="DH19" s="45">
        <f aca="true" t="shared" si="24" ref="DH19:DH30">DK19</f>
        <v>125.0245915834699</v>
      </c>
      <c r="DI19" s="44"/>
      <c r="DJ19" s="156">
        <f>IF(DO19=1,IF(I19&gt;0,IF((I19+CQ12)&gt;C11,C11,I19+CQ12),IF(DF19&gt;cad1,cad1,DF19)),"")</f>
        <v>100</v>
      </c>
      <c r="DK19" s="158">
        <f aca="true" t="shared" si="25" ref="DK19:DK30">IF(DO19=1,IF(DJ19&lt;cad1,0,IF(DJ19=cad1,I19-L19)),"")</f>
        <v>125.0245915834699</v>
      </c>
      <c r="DL19" s="44"/>
      <c r="DM19" s="45">
        <f>IF(I19&lt;0,0,I19+CP1)</f>
        <v>125.0245915834699</v>
      </c>
      <c r="DN19" s="45">
        <f>IF(I19&lt;0,DN1,CN1+I19)</f>
        <v>125.0245915834699</v>
      </c>
      <c r="DO19" s="43">
        <f>IF(OR(B19="fim",CJ1=0),0,1)</f>
        <v>1</v>
      </c>
      <c r="DP19" s="44"/>
      <c r="DQ19" s="189"/>
      <c r="DR19" s="190"/>
      <c r="DS19" s="190"/>
      <c r="DT19" s="191"/>
      <c r="DU19" s="191"/>
      <c r="DV19" s="190"/>
      <c r="DW19" s="190"/>
      <c r="DX19" s="190"/>
    </row>
    <row r="20" spans="1:128" ht="14.25">
      <c r="A20" s="69"/>
      <c r="B20" s="151" t="s">
        <v>102</v>
      </c>
      <c r="C20" s="152">
        <v>28</v>
      </c>
      <c r="D20" s="186">
        <f aca="true" t="shared" si="26" ref="D20:D30">IF(D19+C19&gt;365,((D19+C19)-365),D19+C19)</f>
        <v>32</v>
      </c>
      <c r="E20" s="153">
        <v>23.5</v>
      </c>
      <c r="F20" s="249">
        <v>190.9</v>
      </c>
      <c r="G20" s="154">
        <f t="shared" si="1"/>
        <v>13.023041572119029</v>
      </c>
      <c r="H20" s="252">
        <f aca="true" t="shared" si="27" ref="H20:H30">IF(E20&lt;26.5,16*((10*(E20/$K$9))^$K$11)*(T20/12)*(C20/30),(-415.85+32.24*E20-0.43*E20^2)*(T20/12)*(C20/30))</f>
        <v>105.69395491042238</v>
      </c>
      <c r="I20" s="157">
        <f t="shared" si="2"/>
        <v>85.20604508957763</v>
      </c>
      <c r="J20" s="157">
        <f aca="true" t="shared" si="28" ref="J20:J30">IF(DO20=1,IF(DE20=0,0,IF(I20&lt;0,J19+I20,IF(I20&gt;=0,cad1*LN(DJ20/cad1)))),"")</f>
        <v>0</v>
      </c>
      <c r="K20" s="251">
        <f>IF(DH20&gt;=0,DJ20,IF(DJ20+DH20&gt;C11,C11,DJ20+DH20))</f>
        <v>100</v>
      </c>
      <c r="L20" s="165">
        <f aca="true" t="shared" si="29" ref="L20:L30">IF(DO20=1,DJ20-DJ19,"")</f>
        <v>0</v>
      </c>
      <c r="M20" s="157">
        <f aca="true" t="shared" si="30" ref="M20:M30">IF(DO20=1,IF(I20&gt;=0,H20,F20+ABS(L20)),"")</f>
        <v>105.69395491042238</v>
      </c>
      <c r="N20" s="157">
        <f t="shared" si="3"/>
        <v>0</v>
      </c>
      <c r="O20" s="251">
        <f aca="true" t="shared" si="31" ref="O20:O30">IF(DK20&lt;0,0,DK20)</f>
        <v>85.20604508957763</v>
      </c>
      <c r="P20" s="197">
        <f t="shared" si="4"/>
        <v>100</v>
      </c>
      <c r="Q20" s="179"/>
      <c r="R20" s="201">
        <f t="shared" si="5"/>
        <v>-17.51649545648422</v>
      </c>
      <c r="S20" s="201">
        <f>ACOS(-TAN(RADIANS($H$9))*TAN(RADIANS(R20)))*180/PI()</f>
        <v>97.67281179089271</v>
      </c>
      <c r="T20" s="201">
        <f t="shared" si="6"/>
        <v>13.023041572119029</v>
      </c>
      <c r="U20" s="202"/>
      <c r="V20" s="202"/>
      <c r="W20" s="202"/>
      <c r="X20" s="203"/>
      <c r="Y20" s="159"/>
      <c r="Z20" s="160"/>
      <c r="AA20" s="161" t="str">
        <f t="shared" si="7"/>
        <v>F</v>
      </c>
      <c r="AB20" s="160">
        <f t="shared" si="8"/>
        <v>0</v>
      </c>
      <c r="AC20" s="162">
        <f aca="true" t="shared" si="32" ref="AC20:AC30">IF(J20="","",IF(O20&lt;&gt;N20,O20,0))</f>
        <v>85.20604508957763</v>
      </c>
      <c r="AD20" s="160"/>
      <c r="AE20" s="163"/>
      <c r="AF20" s="159"/>
      <c r="AG20" s="159"/>
      <c r="AH20" s="159"/>
      <c r="AI20" s="163"/>
      <c r="AJ20" s="163"/>
      <c r="AK20" s="163"/>
      <c r="AL20" s="163"/>
      <c r="AM20" s="163"/>
      <c r="AN20" s="163"/>
      <c r="AO20" s="163"/>
      <c r="AP20" s="164" t="str">
        <f t="shared" si="9"/>
        <v>F</v>
      </c>
      <c r="AQ20" s="165">
        <f t="shared" si="10"/>
        <v>190.9</v>
      </c>
      <c r="AR20" s="165">
        <f t="shared" si="11"/>
        <v>105.69395491042238</v>
      </c>
      <c r="AS20" s="166">
        <f t="shared" si="12"/>
        <v>105.69395491042238</v>
      </c>
      <c r="AT20" s="167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61" t="str">
        <f t="shared" si="13"/>
        <v>F</v>
      </c>
      <c r="BF20" s="160">
        <f aca="true" t="shared" si="33" ref="BF20:BF42">$C$11</f>
        <v>100</v>
      </c>
      <c r="BG20" s="162">
        <f t="shared" si="14"/>
        <v>100</v>
      </c>
      <c r="BH20" s="159"/>
      <c r="BI20" s="159"/>
      <c r="BJ20" s="159"/>
      <c r="BK20" s="159"/>
      <c r="BL20" s="159"/>
      <c r="BM20" s="159"/>
      <c r="BN20" s="159"/>
      <c r="BO20" s="159"/>
      <c r="BP20" s="159"/>
      <c r="BQ20" s="172" t="str">
        <f t="shared" si="15"/>
        <v>F</v>
      </c>
      <c r="BR20" s="160">
        <f t="shared" si="16"/>
        <v>85.20604508957763</v>
      </c>
      <c r="BS20" s="160">
        <f t="shared" si="17"/>
        <v>0</v>
      </c>
      <c r="BT20" s="160">
        <f t="shared" si="18"/>
        <v>0</v>
      </c>
      <c r="BU20" s="173">
        <f t="shared" si="19"/>
        <v>0</v>
      </c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83"/>
      <c r="CI20" s="4">
        <v>1</v>
      </c>
      <c r="CK20" s="28">
        <f t="shared" si="20"/>
        <v>2</v>
      </c>
      <c r="CQ20" s="43">
        <f t="shared" si="21"/>
        <v>0</v>
      </c>
      <c r="CR20" s="43">
        <f aca="true" t="shared" si="34" ref="CR20:DB21">IF(AND(CQ19=1,CQ20=0),1,0)</f>
        <v>0</v>
      </c>
      <c r="CS20" s="43">
        <f t="shared" si="34"/>
        <v>0</v>
      </c>
      <c r="CT20" s="43">
        <f t="shared" si="34"/>
        <v>0</v>
      </c>
      <c r="CU20" s="43">
        <f t="shared" si="34"/>
        <v>0</v>
      </c>
      <c r="CV20" s="43">
        <f t="shared" si="34"/>
        <v>0</v>
      </c>
      <c r="CW20" s="43">
        <f t="shared" si="34"/>
        <v>0</v>
      </c>
      <c r="CX20" s="43">
        <f t="shared" si="34"/>
        <v>0</v>
      </c>
      <c r="CY20" s="43">
        <f t="shared" si="34"/>
        <v>0</v>
      </c>
      <c r="CZ20" s="43">
        <f t="shared" si="34"/>
        <v>0</v>
      </c>
      <c r="DA20" s="43">
        <f t="shared" si="34"/>
        <v>0</v>
      </c>
      <c r="DB20" s="43">
        <f t="shared" si="34"/>
        <v>0</v>
      </c>
      <c r="DC20" s="43">
        <f aca="true" t="shared" si="35" ref="DC20:DC30">IF(AND($DN$45=1,OR(DM20=$DM$44,DC19=1)),1,0)</f>
        <v>0</v>
      </c>
      <c r="DD20" s="43">
        <f t="shared" si="23"/>
        <v>0</v>
      </c>
      <c r="DE20" s="43">
        <f aca="true" t="shared" si="36" ref="DE20:DE30">IF(OR(CQ20=1,CR20=1,CS20=1,CT20=1,CU20=1,CV20=1,CW20=1,CX20=1,CY20=1,CZ20=1,DA20=1,DB20=1,DC20=1),1,0)</f>
        <v>0</v>
      </c>
      <c r="DF20" s="250">
        <f aca="true" t="shared" si="37" ref="DF20:DF30">IF(DO20=1,IF(DE20=0,IF($DN$45=1,$DD$44,cad1),IF(I20&lt;0,cad1*EXP(J20/cad1),IF(I20&gt;0,DF19+ABS(I20)))),"")</f>
        <v>100</v>
      </c>
      <c r="DG20" s="44"/>
      <c r="DH20" s="45">
        <f t="shared" si="24"/>
        <v>85.20604508957763</v>
      </c>
      <c r="DI20" s="44"/>
      <c r="DJ20" s="165">
        <f aca="true" t="shared" si="38" ref="DJ20:DJ30">IF(DO20=1,IF(DF20&gt;cad1,cad1,DF20),"")</f>
        <v>100</v>
      </c>
      <c r="DK20" s="171">
        <f t="shared" si="25"/>
        <v>85.20604508957763</v>
      </c>
      <c r="DL20" s="44"/>
      <c r="DM20" s="45">
        <f aca="true" t="shared" si="39" ref="DM20:DM30">IF(DO20=1,IF(I20&lt;0,0,I20+DM19),"")</f>
        <v>210.2306366730475</v>
      </c>
      <c r="DN20" s="45">
        <f aca="true" t="shared" si="40" ref="DN20:DN30">IF(DO20=1,IF(I20&lt;0,DN19,DN19+I20),"")</f>
        <v>210.2306366730475</v>
      </c>
      <c r="DO20" s="43">
        <f aca="true" t="shared" si="41" ref="DO20:DO30">IF(OR(B20="fim",DO19=0),0,1)</f>
        <v>1</v>
      </c>
      <c r="DP20" s="44"/>
      <c r="DQ20" s="189"/>
      <c r="DR20" s="190"/>
      <c r="DS20" s="190"/>
      <c r="DT20" s="191"/>
      <c r="DU20" s="191"/>
      <c r="DV20" s="190"/>
      <c r="DW20" s="190"/>
      <c r="DX20" s="190"/>
    </row>
    <row r="21" spans="1:128" ht="14.25">
      <c r="A21" s="69"/>
      <c r="B21" s="151" t="s">
        <v>103</v>
      </c>
      <c r="C21" s="152">
        <v>31</v>
      </c>
      <c r="D21" s="186">
        <f t="shared" si="26"/>
        <v>60</v>
      </c>
      <c r="E21" s="153">
        <v>23</v>
      </c>
      <c r="F21" s="249">
        <v>147.3</v>
      </c>
      <c r="G21" s="154">
        <f t="shared" si="1"/>
        <v>12.471396272901895</v>
      </c>
      <c r="H21" s="252">
        <f t="shared" si="27"/>
        <v>106.19556937312586</v>
      </c>
      <c r="I21" s="157">
        <f t="shared" si="2"/>
        <v>41.10443062687415</v>
      </c>
      <c r="J21" s="157">
        <f t="shared" si="28"/>
        <v>0</v>
      </c>
      <c r="K21" s="251">
        <f aca="true" t="shared" si="42" ref="K21:K30">IF(DH21&gt;=0,DJ21,IF(DJ21+DH21&gt;C12,C12,DJ21+DH21))</f>
        <v>100</v>
      </c>
      <c r="L21" s="165">
        <f t="shared" si="29"/>
        <v>0</v>
      </c>
      <c r="M21" s="157">
        <f t="shared" si="30"/>
        <v>106.19556937312586</v>
      </c>
      <c r="N21" s="157">
        <f t="shared" si="3"/>
        <v>0</v>
      </c>
      <c r="O21" s="251">
        <f t="shared" si="31"/>
        <v>41.10443062687415</v>
      </c>
      <c r="P21" s="197">
        <f t="shared" si="4"/>
        <v>100</v>
      </c>
      <c r="Q21" s="179"/>
      <c r="R21" s="201">
        <f t="shared" si="5"/>
        <v>-8.293705065035914</v>
      </c>
      <c r="S21" s="201">
        <f aca="true" t="shared" si="43" ref="S21:S42">ACOS(-TAN(RADIANS($S$17))*TAN(RADIANS(R21)))*180/PI()</f>
        <v>93.53547204676421</v>
      </c>
      <c r="T21" s="201">
        <f t="shared" si="6"/>
        <v>12.471396272901895</v>
      </c>
      <c r="U21" s="202"/>
      <c r="V21" s="202"/>
      <c r="W21" s="202"/>
      <c r="X21" s="203"/>
      <c r="Y21" s="159"/>
      <c r="Z21" s="160"/>
      <c r="AA21" s="161" t="str">
        <f t="shared" si="7"/>
        <v>M</v>
      </c>
      <c r="AB21" s="160">
        <f t="shared" si="8"/>
        <v>0</v>
      </c>
      <c r="AC21" s="162">
        <f t="shared" si="32"/>
        <v>41.10443062687415</v>
      </c>
      <c r="AD21" s="160"/>
      <c r="AE21" s="163"/>
      <c r="AF21" s="159"/>
      <c r="AG21" s="159"/>
      <c r="AH21" s="159"/>
      <c r="AI21" s="163"/>
      <c r="AJ21" s="163"/>
      <c r="AK21" s="163"/>
      <c r="AL21" s="163"/>
      <c r="AM21" s="163"/>
      <c r="AN21" s="163"/>
      <c r="AO21" s="163"/>
      <c r="AP21" s="164" t="str">
        <f t="shared" si="9"/>
        <v>M</v>
      </c>
      <c r="AQ21" s="165">
        <f t="shared" si="10"/>
        <v>147.3</v>
      </c>
      <c r="AR21" s="165">
        <f t="shared" si="11"/>
        <v>106.19556937312586</v>
      </c>
      <c r="AS21" s="166">
        <f t="shared" si="12"/>
        <v>106.19556937312586</v>
      </c>
      <c r="AT21" s="167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61" t="str">
        <f t="shared" si="13"/>
        <v>M</v>
      </c>
      <c r="BF21" s="160">
        <f t="shared" si="33"/>
        <v>100</v>
      </c>
      <c r="BG21" s="162">
        <f t="shared" si="14"/>
        <v>100</v>
      </c>
      <c r="BH21" s="159"/>
      <c r="BI21" s="159"/>
      <c r="BJ21" s="159"/>
      <c r="BK21" s="159"/>
      <c r="BL21" s="159"/>
      <c r="BM21" s="159"/>
      <c r="BN21" s="159"/>
      <c r="BO21" s="159"/>
      <c r="BP21" s="159"/>
      <c r="BQ21" s="172" t="str">
        <f t="shared" si="15"/>
        <v>M</v>
      </c>
      <c r="BR21" s="160">
        <f t="shared" si="16"/>
        <v>41.10443062687415</v>
      </c>
      <c r="BS21" s="160">
        <f t="shared" si="17"/>
        <v>0</v>
      </c>
      <c r="BT21" s="160">
        <f t="shared" si="18"/>
        <v>0</v>
      </c>
      <c r="BU21" s="173">
        <f t="shared" si="19"/>
        <v>0</v>
      </c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83"/>
      <c r="CI21" s="4">
        <v>1</v>
      </c>
      <c r="CK21" s="28">
        <f t="shared" si="20"/>
        <v>3</v>
      </c>
      <c r="CQ21" s="43">
        <f t="shared" si="21"/>
        <v>0</v>
      </c>
      <c r="CR21" s="43">
        <f t="shared" si="34"/>
        <v>0</v>
      </c>
      <c r="CS21" s="43">
        <f t="shared" si="34"/>
        <v>0</v>
      </c>
      <c r="CT21" s="43">
        <f t="shared" si="34"/>
        <v>0</v>
      </c>
      <c r="CU21" s="43">
        <f t="shared" si="34"/>
        <v>0</v>
      </c>
      <c r="CV21" s="43">
        <f t="shared" si="34"/>
        <v>0</v>
      </c>
      <c r="CW21" s="43">
        <f t="shared" si="34"/>
        <v>0</v>
      </c>
      <c r="CX21" s="43">
        <f t="shared" si="34"/>
        <v>0</v>
      </c>
      <c r="CY21" s="43">
        <f t="shared" si="34"/>
        <v>0</v>
      </c>
      <c r="CZ21" s="43">
        <f t="shared" si="34"/>
        <v>0</v>
      </c>
      <c r="DA21" s="43">
        <f t="shared" si="34"/>
        <v>0</v>
      </c>
      <c r="DB21" s="43">
        <f t="shared" si="34"/>
        <v>0</v>
      </c>
      <c r="DC21" s="43">
        <f t="shared" si="35"/>
        <v>0</v>
      </c>
      <c r="DD21" s="43">
        <f t="shared" si="23"/>
        <v>0</v>
      </c>
      <c r="DE21" s="43">
        <f t="shared" si="36"/>
        <v>0</v>
      </c>
      <c r="DF21" s="250">
        <f t="shared" si="37"/>
        <v>100</v>
      </c>
      <c r="DG21" s="44"/>
      <c r="DH21" s="45">
        <f t="shared" si="24"/>
        <v>41.10443062687415</v>
      </c>
      <c r="DI21" s="44"/>
      <c r="DJ21" s="165">
        <f t="shared" si="38"/>
        <v>100</v>
      </c>
      <c r="DK21" s="171">
        <f t="shared" si="25"/>
        <v>41.10443062687415</v>
      </c>
      <c r="DL21" s="44"/>
      <c r="DM21" s="45">
        <f t="shared" si="39"/>
        <v>251.33506729992166</v>
      </c>
      <c r="DN21" s="45">
        <f t="shared" si="40"/>
        <v>251.33506729992166</v>
      </c>
      <c r="DO21" s="43">
        <f t="shared" si="41"/>
        <v>1</v>
      </c>
      <c r="DP21" s="44"/>
      <c r="DQ21" s="189"/>
      <c r="DR21" s="190"/>
      <c r="DS21" s="190"/>
      <c r="DT21" s="191"/>
      <c r="DU21" s="191"/>
      <c r="DV21" s="190"/>
      <c r="DW21" s="190"/>
      <c r="DX21" s="190"/>
    </row>
    <row r="22" spans="1:128" ht="14.25">
      <c r="A22" s="69"/>
      <c r="B22" s="151" t="s">
        <v>104</v>
      </c>
      <c r="C22" s="152">
        <v>30</v>
      </c>
      <c r="D22" s="186">
        <f t="shared" si="26"/>
        <v>91</v>
      </c>
      <c r="E22" s="153">
        <v>21.1</v>
      </c>
      <c r="F22" s="249">
        <v>71</v>
      </c>
      <c r="G22" s="154">
        <f t="shared" si="1"/>
        <v>11.773027751812004</v>
      </c>
      <c r="H22" s="252">
        <f t="shared" si="27"/>
        <v>78.20339290926482</v>
      </c>
      <c r="I22" s="157">
        <f t="shared" si="2"/>
        <v>-7.203392909264821</v>
      </c>
      <c r="J22" s="157">
        <f t="shared" si="28"/>
        <v>-7.203392909264821</v>
      </c>
      <c r="K22" s="251">
        <f t="shared" si="42"/>
        <v>93.04993242778295</v>
      </c>
      <c r="L22" s="165">
        <f t="shared" si="29"/>
        <v>-6.950067572217051</v>
      </c>
      <c r="M22" s="157">
        <f t="shared" si="30"/>
        <v>77.95006757221705</v>
      </c>
      <c r="N22" s="157">
        <f t="shared" si="3"/>
        <v>0.2533253370477695</v>
      </c>
      <c r="O22" s="251">
        <f t="shared" si="31"/>
        <v>0</v>
      </c>
      <c r="P22" s="197">
        <f t="shared" si="4"/>
        <v>93.04993242778295</v>
      </c>
      <c r="Q22" s="179"/>
      <c r="R22" s="201">
        <f t="shared" si="5"/>
        <v>4.016824231055649</v>
      </c>
      <c r="S22" s="201">
        <f t="shared" si="43"/>
        <v>88.29770813859002</v>
      </c>
      <c r="T22" s="201">
        <f t="shared" si="6"/>
        <v>11.773027751812004</v>
      </c>
      <c r="U22" s="202"/>
      <c r="V22" s="202"/>
      <c r="W22" s="202"/>
      <c r="X22" s="203"/>
      <c r="Y22" s="159"/>
      <c r="Z22" s="160"/>
      <c r="AA22" s="161" t="str">
        <f t="shared" si="7"/>
        <v>A</v>
      </c>
      <c r="AB22" s="160">
        <f t="shared" si="8"/>
        <v>-0.2533253370477695</v>
      </c>
      <c r="AC22" s="162">
        <f t="shared" si="32"/>
        <v>0</v>
      </c>
      <c r="AD22" s="160"/>
      <c r="AE22" s="163"/>
      <c r="AF22" s="159"/>
      <c r="AG22" s="159"/>
      <c r="AH22" s="159"/>
      <c r="AI22" s="163"/>
      <c r="AJ22" s="163"/>
      <c r="AK22" s="163"/>
      <c r="AL22" s="163"/>
      <c r="AM22" s="163"/>
      <c r="AN22" s="163"/>
      <c r="AO22" s="163"/>
      <c r="AP22" s="164" t="str">
        <f t="shared" si="9"/>
        <v>A</v>
      </c>
      <c r="AQ22" s="165">
        <f t="shared" si="10"/>
        <v>71</v>
      </c>
      <c r="AR22" s="165">
        <f t="shared" si="11"/>
        <v>78.20339290926482</v>
      </c>
      <c r="AS22" s="166">
        <f t="shared" si="12"/>
        <v>77.95006757221705</v>
      </c>
      <c r="AT22" s="167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61" t="str">
        <f t="shared" si="13"/>
        <v>A</v>
      </c>
      <c r="BF22" s="160">
        <f t="shared" si="33"/>
        <v>100</v>
      </c>
      <c r="BG22" s="162">
        <f t="shared" si="14"/>
        <v>93.04993242778295</v>
      </c>
      <c r="BH22" s="159"/>
      <c r="BI22" s="159"/>
      <c r="BJ22" s="159"/>
      <c r="BK22" s="159"/>
      <c r="BL22" s="159"/>
      <c r="BM22" s="159"/>
      <c r="BN22" s="159"/>
      <c r="BO22" s="159"/>
      <c r="BP22" s="159"/>
      <c r="BQ22" s="172" t="str">
        <f t="shared" si="15"/>
        <v>A</v>
      </c>
      <c r="BR22" s="160">
        <f t="shared" si="16"/>
        <v>0</v>
      </c>
      <c r="BS22" s="160">
        <f t="shared" si="17"/>
        <v>-0.2533253370477695</v>
      </c>
      <c r="BT22" s="160">
        <f t="shared" si="18"/>
        <v>-6.950067572217051</v>
      </c>
      <c r="BU22" s="173">
        <f t="shared" si="19"/>
        <v>0</v>
      </c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83"/>
      <c r="CI22" s="4">
        <v>1</v>
      </c>
      <c r="CK22" s="28">
        <f t="shared" si="20"/>
        <v>4</v>
      </c>
      <c r="CQ22" s="43">
        <f t="shared" si="21"/>
        <v>1</v>
      </c>
      <c r="CR22" s="43">
        <f aca="true" t="shared" si="44" ref="CR22:DB22">IF(AND(CQ21=1,CQ22=0),1,0)</f>
        <v>0</v>
      </c>
      <c r="CS22" s="43">
        <f t="shared" si="44"/>
        <v>0</v>
      </c>
      <c r="CT22" s="43">
        <f t="shared" si="44"/>
        <v>0</v>
      </c>
      <c r="CU22" s="43">
        <f t="shared" si="44"/>
        <v>0</v>
      </c>
      <c r="CV22" s="43">
        <f t="shared" si="44"/>
        <v>0</v>
      </c>
      <c r="CW22" s="43">
        <f t="shared" si="44"/>
        <v>0</v>
      </c>
      <c r="CX22" s="43">
        <f t="shared" si="44"/>
        <v>0</v>
      </c>
      <c r="CY22" s="43">
        <f t="shared" si="44"/>
        <v>0</v>
      </c>
      <c r="CZ22" s="43">
        <f t="shared" si="44"/>
        <v>0</v>
      </c>
      <c r="DA22" s="43">
        <f t="shared" si="44"/>
        <v>0</v>
      </c>
      <c r="DB22" s="43">
        <f t="shared" si="44"/>
        <v>0</v>
      </c>
      <c r="DC22" s="43">
        <f t="shared" si="35"/>
        <v>0</v>
      </c>
      <c r="DD22" s="43">
        <f t="shared" si="23"/>
        <v>0</v>
      </c>
      <c r="DE22" s="43">
        <f t="shared" si="36"/>
        <v>1</v>
      </c>
      <c r="DF22" s="250">
        <f t="shared" si="37"/>
        <v>93.04993242778295</v>
      </c>
      <c r="DG22" s="44"/>
      <c r="DH22" s="45">
        <f t="shared" si="24"/>
        <v>0</v>
      </c>
      <c r="DI22" s="44"/>
      <c r="DJ22" s="165">
        <f t="shared" si="38"/>
        <v>93.04993242778295</v>
      </c>
      <c r="DK22" s="171">
        <f t="shared" si="25"/>
        <v>0</v>
      </c>
      <c r="DL22" s="44"/>
      <c r="DM22" s="45">
        <f t="shared" si="39"/>
        <v>0</v>
      </c>
      <c r="DN22" s="45">
        <f t="shared" si="40"/>
        <v>251.33506729992166</v>
      </c>
      <c r="DO22" s="43">
        <f t="shared" si="41"/>
        <v>1</v>
      </c>
      <c r="DP22" s="44"/>
      <c r="DQ22" s="189"/>
      <c r="DR22" s="190"/>
      <c r="DS22" s="190"/>
      <c r="DT22" s="191"/>
      <c r="DU22" s="191"/>
      <c r="DV22" s="190"/>
      <c r="DW22" s="190"/>
      <c r="DX22" s="190"/>
    </row>
    <row r="23" spans="1:128" ht="14.25">
      <c r="A23" s="69"/>
      <c r="B23" s="151" t="s">
        <v>103</v>
      </c>
      <c r="C23" s="152">
        <v>31</v>
      </c>
      <c r="D23" s="186">
        <f t="shared" si="26"/>
        <v>121</v>
      </c>
      <c r="E23" s="153">
        <v>18.7</v>
      </c>
      <c r="F23" s="249">
        <v>65.1</v>
      </c>
      <c r="G23" s="154">
        <f t="shared" si="1"/>
        <v>11.138220446137234</v>
      </c>
      <c r="H23" s="252">
        <f t="shared" si="27"/>
        <v>56.53163603974397</v>
      </c>
      <c r="I23" s="157">
        <f t="shared" si="2"/>
        <v>8.568363960256022</v>
      </c>
      <c r="J23" s="157">
        <f t="shared" si="28"/>
        <v>0</v>
      </c>
      <c r="K23" s="251">
        <f t="shared" si="42"/>
        <v>100</v>
      </c>
      <c r="L23" s="165">
        <f t="shared" si="29"/>
        <v>6.950067572217051</v>
      </c>
      <c r="M23" s="157">
        <f t="shared" si="30"/>
        <v>56.53163603974397</v>
      </c>
      <c r="N23" s="157">
        <f t="shared" si="3"/>
        <v>0</v>
      </c>
      <c r="O23" s="251">
        <f t="shared" si="31"/>
        <v>1.6182963880389707</v>
      </c>
      <c r="P23" s="197">
        <f t="shared" si="4"/>
        <v>100</v>
      </c>
      <c r="Q23" s="179"/>
      <c r="R23" s="201">
        <f t="shared" si="5"/>
        <v>14.90088745587466</v>
      </c>
      <c r="S23" s="201">
        <f t="shared" si="43"/>
        <v>83.53665334602925</v>
      </c>
      <c r="T23" s="201">
        <f t="shared" si="6"/>
        <v>11.138220446137234</v>
      </c>
      <c r="U23" s="202"/>
      <c r="V23" s="202"/>
      <c r="W23" s="202"/>
      <c r="X23" s="203"/>
      <c r="Y23" s="159"/>
      <c r="Z23" s="160"/>
      <c r="AA23" s="161" t="str">
        <f t="shared" si="7"/>
        <v>M</v>
      </c>
      <c r="AB23" s="160">
        <f t="shared" si="8"/>
        <v>0</v>
      </c>
      <c r="AC23" s="162">
        <f t="shared" si="32"/>
        <v>1.6182963880389707</v>
      </c>
      <c r="AD23" s="160"/>
      <c r="AE23" s="163"/>
      <c r="AF23" s="159"/>
      <c r="AG23" s="159"/>
      <c r="AH23" s="159"/>
      <c r="AI23" s="163"/>
      <c r="AJ23" s="163"/>
      <c r="AK23" s="163"/>
      <c r="AL23" s="163"/>
      <c r="AM23" s="163"/>
      <c r="AN23" s="163"/>
      <c r="AO23" s="163"/>
      <c r="AP23" s="164" t="str">
        <f t="shared" si="9"/>
        <v>M</v>
      </c>
      <c r="AQ23" s="165">
        <f t="shared" si="10"/>
        <v>65.1</v>
      </c>
      <c r="AR23" s="165">
        <f t="shared" si="11"/>
        <v>56.53163603974397</v>
      </c>
      <c r="AS23" s="166">
        <f t="shared" si="12"/>
        <v>56.53163603974397</v>
      </c>
      <c r="AT23" s="167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61" t="str">
        <f t="shared" si="13"/>
        <v>M</v>
      </c>
      <c r="BF23" s="160">
        <f t="shared" si="33"/>
        <v>100</v>
      </c>
      <c r="BG23" s="162">
        <f t="shared" si="14"/>
        <v>100</v>
      </c>
      <c r="BH23" s="159"/>
      <c r="BI23" s="159"/>
      <c r="BJ23" s="159"/>
      <c r="BK23" s="159"/>
      <c r="BL23" s="159"/>
      <c r="BM23" s="159"/>
      <c r="BN23" s="159"/>
      <c r="BO23" s="159"/>
      <c r="BP23" s="159"/>
      <c r="BQ23" s="172" t="str">
        <f t="shared" si="15"/>
        <v>M</v>
      </c>
      <c r="BR23" s="160">
        <f t="shared" si="16"/>
        <v>1.6182963880389707</v>
      </c>
      <c r="BS23" s="160">
        <f t="shared" si="17"/>
        <v>0</v>
      </c>
      <c r="BT23" s="160">
        <f t="shared" si="18"/>
        <v>0</v>
      </c>
      <c r="BU23" s="173">
        <f t="shared" si="19"/>
        <v>6.950067572217051</v>
      </c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83"/>
      <c r="CI23" s="4">
        <v>1</v>
      </c>
      <c r="CK23" s="28">
        <f t="shared" si="20"/>
        <v>5</v>
      </c>
      <c r="CQ23" s="43">
        <f t="shared" si="21"/>
        <v>0</v>
      </c>
      <c r="CR23" s="43">
        <f aca="true" t="shared" si="45" ref="CR23:DB23">IF(AND(CQ22=1,CQ23=0),1,0)</f>
        <v>1</v>
      </c>
      <c r="CS23" s="43">
        <f t="shared" si="45"/>
        <v>0</v>
      </c>
      <c r="CT23" s="43">
        <f t="shared" si="45"/>
        <v>0</v>
      </c>
      <c r="CU23" s="43">
        <f t="shared" si="45"/>
        <v>0</v>
      </c>
      <c r="CV23" s="43">
        <f t="shared" si="45"/>
        <v>0</v>
      </c>
      <c r="CW23" s="43">
        <f t="shared" si="45"/>
        <v>0</v>
      </c>
      <c r="CX23" s="43">
        <f t="shared" si="45"/>
        <v>0</v>
      </c>
      <c r="CY23" s="43">
        <f t="shared" si="45"/>
        <v>0</v>
      </c>
      <c r="CZ23" s="43">
        <f t="shared" si="45"/>
        <v>0</v>
      </c>
      <c r="DA23" s="43">
        <f t="shared" si="45"/>
        <v>0</v>
      </c>
      <c r="DB23" s="43">
        <f t="shared" si="45"/>
        <v>0</v>
      </c>
      <c r="DC23" s="43">
        <f t="shared" si="35"/>
        <v>0</v>
      </c>
      <c r="DD23" s="43">
        <f t="shared" si="23"/>
        <v>0</v>
      </c>
      <c r="DE23" s="43">
        <f t="shared" si="36"/>
        <v>1</v>
      </c>
      <c r="DF23" s="250">
        <f t="shared" si="37"/>
        <v>101.61829638803897</v>
      </c>
      <c r="DG23" s="44"/>
      <c r="DH23" s="45">
        <f t="shared" si="24"/>
        <v>1.6182963880389707</v>
      </c>
      <c r="DI23" s="44"/>
      <c r="DJ23" s="165">
        <f t="shared" si="38"/>
        <v>100</v>
      </c>
      <c r="DK23" s="171">
        <f t="shared" si="25"/>
        <v>1.6182963880389707</v>
      </c>
      <c r="DL23" s="44"/>
      <c r="DM23" s="45">
        <f t="shared" si="39"/>
        <v>8.568363960256022</v>
      </c>
      <c r="DN23" s="45">
        <f t="shared" si="40"/>
        <v>259.9034312601777</v>
      </c>
      <c r="DO23" s="43">
        <f t="shared" si="41"/>
        <v>1</v>
      </c>
      <c r="DP23" s="44"/>
      <c r="DQ23" s="189"/>
      <c r="DR23" s="190"/>
      <c r="DS23" s="190"/>
      <c r="DT23" s="191"/>
      <c r="DU23" s="191"/>
      <c r="DV23" s="190"/>
      <c r="DW23" s="190"/>
      <c r="DX23" s="190"/>
    </row>
    <row r="24" spans="1:128" ht="14.25">
      <c r="A24" s="69"/>
      <c r="B24" s="151" t="s">
        <v>101</v>
      </c>
      <c r="C24" s="152">
        <v>30</v>
      </c>
      <c r="D24" s="186">
        <f t="shared" si="26"/>
        <v>152</v>
      </c>
      <c r="E24" s="153">
        <v>17.4</v>
      </c>
      <c r="F24" s="249">
        <v>48.7</v>
      </c>
      <c r="G24" s="154">
        <f t="shared" si="1"/>
        <v>10.685210812285815</v>
      </c>
      <c r="H24" s="252">
        <f t="shared" si="27"/>
        <v>43.83161828143886</v>
      </c>
      <c r="I24" s="157">
        <f t="shared" si="2"/>
        <v>4.868381718561146</v>
      </c>
      <c r="J24" s="157">
        <f t="shared" si="28"/>
        <v>0</v>
      </c>
      <c r="K24" s="251">
        <f t="shared" si="42"/>
        <v>100</v>
      </c>
      <c r="L24" s="165">
        <f t="shared" si="29"/>
        <v>0</v>
      </c>
      <c r="M24" s="157">
        <f t="shared" si="30"/>
        <v>43.83161828143886</v>
      </c>
      <c r="N24" s="157">
        <f t="shared" si="3"/>
        <v>0</v>
      </c>
      <c r="O24" s="251">
        <f t="shared" si="31"/>
        <v>4.868381718561146</v>
      </c>
      <c r="P24" s="197">
        <f t="shared" si="4"/>
        <v>100</v>
      </c>
      <c r="Q24" s="179"/>
      <c r="R24" s="201">
        <f t="shared" si="5"/>
        <v>22.039624558737447</v>
      </c>
      <c r="S24" s="201">
        <f t="shared" si="43"/>
        <v>80.13908109214361</v>
      </c>
      <c r="T24" s="201">
        <f t="shared" si="6"/>
        <v>10.685210812285815</v>
      </c>
      <c r="U24" s="202"/>
      <c r="V24" s="202"/>
      <c r="W24" s="202"/>
      <c r="X24" s="203"/>
      <c r="Y24" s="159"/>
      <c r="Z24" s="160"/>
      <c r="AA24" s="161" t="str">
        <f t="shared" si="7"/>
        <v>J</v>
      </c>
      <c r="AB24" s="160">
        <f t="shared" si="8"/>
        <v>0</v>
      </c>
      <c r="AC24" s="162">
        <f t="shared" si="32"/>
        <v>4.868381718561146</v>
      </c>
      <c r="AD24" s="160"/>
      <c r="AE24" s="163"/>
      <c r="AF24" s="159"/>
      <c r="AG24" s="159"/>
      <c r="AH24" s="159"/>
      <c r="AI24" s="163"/>
      <c r="AJ24" s="163"/>
      <c r="AK24" s="163"/>
      <c r="AL24" s="163"/>
      <c r="AM24" s="163"/>
      <c r="AN24" s="163"/>
      <c r="AO24" s="163"/>
      <c r="AP24" s="164" t="str">
        <f t="shared" si="9"/>
        <v>J</v>
      </c>
      <c r="AQ24" s="165">
        <f t="shared" si="10"/>
        <v>48.7</v>
      </c>
      <c r="AR24" s="165">
        <f t="shared" si="11"/>
        <v>43.83161828143886</v>
      </c>
      <c r="AS24" s="166">
        <f t="shared" si="12"/>
        <v>43.83161828143886</v>
      </c>
      <c r="AT24" s="167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61" t="str">
        <f t="shared" si="13"/>
        <v>J</v>
      </c>
      <c r="BF24" s="160">
        <f t="shared" si="33"/>
        <v>100</v>
      </c>
      <c r="BG24" s="162">
        <f t="shared" si="14"/>
        <v>100</v>
      </c>
      <c r="BH24" s="159"/>
      <c r="BI24" s="159"/>
      <c r="BJ24" s="159"/>
      <c r="BK24" s="159"/>
      <c r="BL24" s="159"/>
      <c r="BM24" s="159"/>
      <c r="BN24" s="159"/>
      <c r="BO24" s="159"/>
      <c r="BP24" s="159"/>
      <c r="BQ24" s="172" t="str">
        <f t="shared" si="15"/>
        <v>J</v>
      </c>
      <c r="BR24" s="160">
        <f t="shared" si="16"/>
        <v>4.868381718561146</v>
      </c>
      <c r="BS24" s="160">
        <f t="shared" si="17"/>
        <v>0</v>
      </c>
      <c r="BT24" s="160">
        <f t="shared" si="18"/>
        <v>0</v>
      </c>
      <c r="BU24" s="173">
        <f t="shared" si="19"/>
        <v>0</v>
      </c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83"/>
      <c r="CI24" s="4">
        <v>1</v>
      </c>
      <c r="CK24" s="28">
        <f t="shared" si="20"/>
        <v>6</v>
      </c>
      <c r="CQ24" s="43">
        <f t="shared" si="21"/>
        <v>0</v>
      </c>
      <c r="CR24" s="43">
        <f aca="true" t="shared" si="46" ref="CR24:DB24">IF(AND(CQ23=1,CQ24=0),1,0)</f>
        <v>0</v>
      </c>
      <c r="CS24" s="43">
        <f t="shared" si="46"/>
        <v>1</v>
      </c>
      <c r="CT24" s="43">
        <f t="shared" si="46"/>
        <v>0</v>
      </c>
      <c r="CU24" s="43">
        <f t="shared" si="46"/>
        <v>0</v>
      </c>
      <c r="CV24" s="43">
        <f t="shared" si="46"/>
        <v>0</v>
      </c>
      <c r="CW24" s="43">
        <f t="shared" si="46"/>
        <v>0</v>
      </c>
      <c r="CX24" s="43">
        <f t="shared" si="46"/>
        <v>0</v>
      </c>
      <c r="CY24" s="43">
        <f t="shared" si="46"/>
        <v>0</v>
      </c>
      <c r="CZ24" s="43">
        <f t="shared" si="46"/>
        <v>0</v>
      </c>
      <c r="DA24" s="43">
        <f t="shared" si="46"/>
        <v>0</v>
      </c>
      <c r="DB24" s="43">
        <f t="shared" si="46"/>
        <v>0</v>
      </c>
      <c r="DC24" s="43">
        <f t="shared" si="35"/>
        <v>0</v>
      </c>
      <c r="DD24" s="43">
        <f t="shared" si="23"/>
        <v>0</v>
      </c>
      <c r="DE24" s="43">
        <f t="shared" si="36"/>
        <v>1</v>
      </c>
      <c r="DF24" s="250">
        <f t="shared" si="37"/>
        <v>106.48667810660012</v>
      </c>
      <c r="DG24" s="44"/>
      <c r="DH24" s="45">
        <f t="shared" si="24"/>
        <v>4.868381718561146</v>
      </c>
      <c r="DI24" s="44"/>
      <c r="DJ24" s="165">
        <f t="shared" si="38"/>
        <v>100</v>
      </c>
      <c r="DK24" s="171">
        <f t="shared" si="25"/>
        <v>4.868381718561146</v>
      </c>
      <c r="DL24" s="44"/>
      <c r="DM24" s="45">
        <f t="shared" si="39"/>
        <v>13.436745678817168</v>
      </c>
      <c r="DN24" s="45">
        <f t="shared" si="40"/>
        <v>264.7718129787388</v>
      </c>
      <c r="DO24" s="43">
        <f t="shared" si="41"/>
        <v>1</v>
      </c>
      <c r="DP24" s="44"/>
      <c r="DQ24" s="189"/>
      <c r="DR24" s="190"/>
      <c r="DS24" s="190"/>
      <c r="DT24" s="191"/>
      <c r="DU24" s="191"/>
      <c r="DV24" s="190"/>
      <c r="DW24" s="190"/>
      <c r="DX24" s="190"/>
    </row>
    <row r="25" spans="1:128" ht="14.25">
      <c r="A25" s="69"/>
      <c r="B25" s="151" t="s">
        <v>101</v>
      </c>
      <c r="C25" s="152">
        <v>31</v>
      </c>
      <c r="D25" s="186">
        <f t="shared" si="26"/>
        <v>182</v>
      </c>
      <c r="E25" s="153">
        <v>17.3</v>
      </c>
      <c r="F25" s="249">
        <v>36.8</v>
      </c>
      <c r="G25" s="154">
        <f t="shared" si="1"/>
        <v>10.612565912853468</v>
      </c>
      <c r="H25" s="252">
        <f t="shared" si="27"/>
        <v>44.34119438218029</v>
      </c>
      <c r="I25" s="157">
        <f t="shared" si="2"/>
        <v>-7.541194382180294</v>
      </c>
      <c r="J25" s="157">
        <f t="shared" si="28"/>
        <v>-7.541194382180294</v>
      </c>
      <c r="K25" s="251">
        <f t="shared" si="42"/>
        <v>92.73613868383075</v>
      </c>
      <c r="L25" s="165">
        <f t="shared" si="29"/>
        <v>-7.263861316169255</v>
      </c>
      <c r="M25" s="157">
        <f t="shared" si="30"/>
        <v>44.06386131616925</v>
      </c>
      <c r="N25" s="157">
        <f t="shared" si="3"/>
        <v>0.2773330660110389</v>
      </c>
      <c r="O25" s="251">
        <f t="shared" si="31"/>
        <v>0</v>
      </c>
      <c r="P25" s="197">
        <f t="shared" si="4"/>
        <v>92.73613868383075</v>
      </c>
      <c r="Q25" s="179"/>
      <c r="R25" s="201">
        <f t="shared" si="5"/>
        <v>23.120484116651824</v>
      </c>
      <c r="S25" s="201">
        <f t="shared" si="43"/>
        <v>79.59424434640101</v>
      </c>
      <c r="T25" s="201">
        <f t="shared" si="6"/>
        <v>10.612565912853468</v>
      </c>
      <c r="U25" s="202"/>
      <c r="V25" s="202"/>
      <c r="W25" s="202"/>
      <c r="X25" s="203"/>
      <c r="Y25" s="159"/>
      <c r="Z25" s="160"/>
      <c r="AA25" s="161" t="str">
        <f t="shared" si="7"/>
        <v>J</v>
      </c>
      <c r="AB25" s="160">
        <f t="shared" si="8"/>
        <v>-0.2773330660110389</v>
      </c>
      <c r="AC25" s="162">
        <f t="shared" si="32"/>
        <v>0</v>
      </c>
      <c r="AD25" s="160"/>
      <c r="AE25" s="163"/>
      <c r="AF25" s="159"/>
      <c r="AG25" s="159"/>
      <c r="AH25" s="159"/>
      <c r="AI25" s="163"/>
      <c r="AJ25" s="163"/>
      <c r="AK25" s="163"/>
      <c r="AL25" s="163"/>
      <c r="AM25" s="163"/>
      <c r="AN25" s="163"/>
      <c r="AO25" s="163"/>
      <c r="AP25" s="164" t="str">
        <f t="shared" si="9"/>
        <v>J</v>
      </c>
      <c r="AQ25" s="165">
        <f t="shared" si="10"/>
        <v>36.8</v>
      </c>
      <c r="AR25" s="165">
        <f t="shared" si="11"/>
        <v>44.34119438218029</v>
      </c>
      <c r="AS25" s="166">
        <f t="shared" si="12"/>
        <v>44.06386131616925</v>
      </c>
      <c r="AT25" s="167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61" t="str">
        <f t="shared" si="13"/>
        <v>J</v>
      </c>
      <c r="BF25" s="160">
        <f t="shared" si="33"/>
        <v>100</v>
      </c>
      <c r="BG25" s="162">
        <f t="shared" si="14"/>
        <v>92.73613868383075</v>
      </c>
      <c r="BH25" s="159"/>
      <c r="BI25" s="159"/>
      <c r="BJ25" s="159"/>
      <c r="BK25" s="159"/>
      <c r="BL25" s="159"/>
      <c r="BM25" s="159"/>
      <c r="BN25" s="159"/>
      <c r="BO25" s="159"/>
      <c r="BP25" s="159"/>
      <c r="BQ25" s="172" t="str">
        <f t="shared" si="15"/>
        <v>J</v>
      </c>
      <c r="BR25" s="160">
        <f t="shared" si="16"/>
        <v>0</v>
      </c>
      <c r="BS25" s="160">
        <f t="shared" si="17"/>
        <v>-0.2773330660110389</v>
      </c>
      <c r="BT25" s="160">
        <f t="shared" si="18"/>
        <v>-7.263861316169255</v>
      </c>
      <c r="BU25" s="173">
        <f t="shared" si="19"/>
        <v>0</v>
      </c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83"/>
      <c r="CI25" s="4">
        <v>1</v>
      </c>
      <c r="CK25" s="28">
        <f t="shared" si="20"/>
        <v>7</v>
      </c>
      <c r="CQ25" s="43">
        <f t="shared" si="21"/>
        <v>1</v>
      </c>
      <c r="CR25" s="43">
        <f aca="true" t="shared" si="47" ref="CR25:DB25">IF(AND(CQ24=1,CQ25=0),1,0)</f>
        <v>0</v>
      </c>
      <c r="CS25" s="43">
        <f t="shared" si="47"/>
        <v>0</v>
      </c>
      <c r="CT25" s="43">
        <f t="shared" si="47"/>
        <v>1</v>
      </c>
      <c r="CU25" s="43">
        <f t="shared" si="47"/>
        <v>0</v>
      </c>
      <c r="CV25" s="43">
        <f t="shared" si="47"/>
        <v>0</v>
      </c>
      <c r="CW25" s="43">
        <f t="shared" si="47"/>
        <v>0</v>
      </c>
      <c r="CX25" s="43">
        <f t="shared" si="47"/>
        <v>0</v>
      </c>
      <c r="CY25" s="43">
        <f t="shared" si="47"/>
        <v>0</v>
      </c>
      <c r="CZ25" s="43">
        <f t="shared" si="47"/>
        <v>0</v>
      </c>
      <c r="DA25" s="43">
        <f t="shared" si="47"/>
        <v>0</v>
      </c>
      <c r="DB25" s="43">
        <f t="shared" si="47"/>
        <v>0</v>
      </c>
      <c r="DC25" s="43">
        <f t="shared" si="35"/>
        <v>0</v>
      </c>
      <c r="DD25" s="43">
        <f t="shared" si="23"/>
        <v>0</v>
      </c>
      <c r="DE25" s="43">
        <f t="shared" si="36"/>
        <v>1</v>
      </c>
      <c r="DF25" s="250">
        <f t="shared" si="37"/>
        <v>92.73613868383075</v>
      </c>
      <c r="DG25" s="44"/>
      <c r="DH25" s="45">
        <f t="shared" si="24"/>
        <v>0</v>
      </c>
      <c r="DI25" s="44"/>
      <c r="DJ25" s="165">
        <f t="shared" si="38"/>
        <v>92.73613868383075</v>
      </c>
      <c r="DK25" s="171">
        <f t="shared" si="25"/>
        <v>0</v>
      </c>
      <c r="DL25" s="44"/>
      <c r="DM25" s="45">
        <f t="shared" si="39"/>
        <v>0</v>
      </c>
      <c r="DN25" s="45">
        <f t="shared" si="40"/>
        <v>264.7718129787388</v>
      </c>
      <c r="DO25" s="43">
        <f t="shared" si="41"/>
        <v>1</v>
      </c>
      <c r="DP25" s="44"/>
      <c r="DQ25" s="189"/>
      <c r="DR25" s="190"/>
      <c r="DS25" s="190"/>
      <c r="DT25" s="191"/>
      <c r="DU25" s="191"/>
      <c r="DV25" s="190"/>
      <c r="DW25" s="190"/>
      <c r="DX25" s="190"/>
    </row>
    <row r="26" spans="1:128" ht="14.25">
      <c r="A26" s="69"/>
      <c r="B26" s="151" t="s">
        <v>104</v>
      </c>
      <c r="C26" s="152">
        <v>31</v>
      </c>
      <c r="D26" s="186">
        <f t="shared" si="26"/>
        <v>213</v>
      </c>
      <c r="E26" s="153">
        <v>18.9</v>
      </c>
      <c r="F26" s="249">
        <v>37.4</v>
      </c>
      <c r="G26" s="154">
        <f t="shared" si="1"/>
        <v>10.95207177012486</v>
      </c>
      <c r="H26" s="252">
        <f t="shared" si="27"/>
        <v>57.085067681831845</v>
      </c>
      <c r="I26" s="157">
        <f t="shared" si="2"/>
        <v>-19.685067681831846</v>
      </c>
      <c r="J26" s="157">
        <f t="shared" si="28"/>
        <v>-27.22626206401214</v>
      </c>
      <c r="K26" s="251">
        <f t="shared" si="42"/>
        <v>76.16542087062032</v>
      </c>
      <c r="L26" s="165">
        <f t="shared" si="29"/>
        <v>-16.570717813210422</v>
      </c>
      <c r="M26" s="157">
        <f t="shared" si="30"/>
        <v>53.97071781321042</v>
      </c>
      <c r="N26" s="157">
        <f t="shared" si="3"/>
        <v>3.1143498686214244</v>
      </c>
      <c r="O26" s="251">
        <f t="shared" si="31"/>
        <v>0</v>
      </c>
      <c r="P26" s="197">
        <f t="shared" si="4"/>
        <v>76.16542087062032</v>
      </c>
      <c r="Q26" s="179"/>
      <c r="R26" s="201">
        <f t="shared" si="5"/>
        <v>17.913187969938228</v>
      </c>
      <c r="S26" s="201">
        <f t="shared" si="43"/>
        <v>82.14053827593645</v>
      </c>
      <c r="T26" s="201">
        <f t="shared" si="6"/>
        <v>10.95207177012486</v>
      </c>
      <c r="U26" s="202"/>
      <c r="V26" s="202"/>
      <c r="W26" s="202"/>
      <c r="X26" s="203"/>
      <c r="Y26" s="159"/>
      <c r="Z26" s="160"/>
      <c r="AA26" s="161" t="str">
        <f t="shared" si="7"/>
        <v>A</v>
      </c>
      <c r="AB26" s="160">
        <f t="shared" si="8"/>
        <v>-3.1143498686214244</v>
      </c>
      <c r="AC26" s="162">
        <f t="shared" si="32"/>
        <v>0</v>
      </c>
      <c r="AD26" s="160"/>
      <c r="AE26" s="163"/>
      <c r="AF26" s="159"/>
      <c r="AG26" s="159"/>
      <c r="AH26" s="159"/>
      <c r="AI26" s="163"/>
      <c r="AJ26" s="163"/>
      <c r="AK26" s="163"/>
      <c r="AL26" s="163"/>
      <c r="AM26" s="163"/>
      <c r="AN26" s="163"/>
      <c r="AO26" s="163"/>
      <c r="AP26" s="164" t="str">
        <f t="shared" si="9"/>
        <v>A</v>
      </c>
      <c r="AQ26" s="165">
        <f t="shared" si="10"/>
        <v>37.4</v>
      </c>
      <c r="AR26" s="165">
        <f t="shared" si="11"/>
        <v>57.085067681831845</v>
      </c>
      <c r="AS26" s="166">
        <f t="shared" si="12"/>
        <v>53.97071781321042</v>
      </c>
      <c r="AT26" s="167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61" t="str">
        <f t="shared" si="13"/>
        <v>A</v>
      </c>
      <c r="BF26" s="160">
        <f t="shared" si="33"/>
        <v>100</v>
      </c>
      <c r="BG26" s="162">
        <f t="shared" si="14"/>
        <v>76.16542087062032</v>
      </c>
      <c r="BH26" s="159"/>
      <c r="BI26" s="159"/>
      <c r="BJ26" s="159"/>
      <c r="BK26" s="159"/>
      <c r="BL26" s="159"/>
      <c r="BM26" s="159"/>
      <c r="BN26" s="159"/>
      <c r="BO26" s="159"/>
      <c r="BP26" s="159"/>
      <c r="BQ26" s="172" t="str">
        <f t="shared" si="15"/>
        <v>A</v>
      </c>
      <c r="BR26" s="160">
        <f t="shared" si="16"/>
        <v>0</v>
      </c>
      <c r="BS26" s="160">
        <f t="shared" si="17"/>
        <v>-3.1143498686214244</v>
      </c>
      <c r="BT26" s="160">
        <f t="shared" si="18"/>
        <v>-16.570717813210422</v>
      </c>
      <c r="BU26" s="173">
        <f t="shared" si="19"/>
        <v>0</v>
      </c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83"/>
      <c r="CI26" s="4">
        <v>1</v>
      </c>
      <c r="CK26" s="28">
        <f t="shared" si="20"/>
        <v>8</v>
      </c>
      <c r="CQ26" s="43">
        <f t="shared" si="21"/>
        <v>1</v>
      </c>
      <c r="CR26" s="43">
        <f aca="true" t="shared" si="48" ref="CR26:DB26">IF(AND(CQ25=1,CQ26=0),1,0)</f>
        <v>0</v>
      </c>
      <c r="CS26" s="43">
        <f t="shared" si="48"/>
        <v>0</v>
      </c>
      <c r="CT26" s="43">
        <f t="shared" si="48"/>
        <v>0</v>
      </c>
      <c r="CU26" s="43">
        <f t="shared" si="48"/>
        <v>1</v>
      </c>
      <c r="CV26" s="43">
        <f t="shared" si="48"/>
        <v>0</v>
      </c>
      <c r="CW26" s="43">
        <f t="shared" si="48"/>
        <v>0</v>
      </c>
      <c r="CX26" s="43">
        <f t="shared" si="48"/>
        <v>0</v>
      </c>
      <c r="CY26" s="43">
        <f t="shared" si="48"/>
        <v>0</v>
      </c>
      <c r="CZ26" s="43">
        <f t="shared" si="48"/>
        <v>0</v>
      </c>
      <c r="DA26" s="43">
        <f t="shared" si="48"/>
        <v>0</v>
      </c>
      <c r="DB26" s="43">
        <f t="shared" si="48"/>
        <v>0</v>
      </c>
      <c r="DC26" s="43">
        <f t="shared" si="35"/>
        <v>0</v>
      </c>
      <c r="DD26" s="43">
        <f t="shared" si="23"/>
        <v>0</v>
      </c>
      <c r="DE26" s="43">
        <f t="shared" si="36"/>
        <v>1</v>
      </c>
      <c r="DF26" s="250">
        <f t="shared" si="37"/>
        <v>76.16542087062032</v>
      </c>
      <c r="DG26" s="44"/>
      <c r="DH26" s="45">
        <f t="shared" si="24"/>
        <v>0</v>
      </c>
      <c r="DI26" s="44"/>
      <c r="DJ26" s="165">
        <f t="shared" si="38"/>
        <v>76.16542087062032</v>
      </c>
      <c r="DK26" s="171">
        <f t="shared" si="25"/>
        <v>0</v>
      </c>
      <c r="DL26" s="44"/>
      <c r="DM26" s="45">
        <f t="shared" si="39"/>
        <v>0</v>
      </c>
      <c r="DN26" s="45">
        <f t="shared" si="40"/>
        <v>264.7718129787388</v>
      </c>
      <c r="DO26" s="43">
        <f t="shared" si="41"/>
        <v>1</v>
      </c>
      <c r="DP26" s="44"/>
      <c r="DQ26" s="189"/>
      <c r="DR26" s="190"/>
      <c r="DS26" s="190"/>
      <c r="DT26" s="191"/>
      <c r="DU26" s="191"/>
      <c r="DV26" s="190"/>
      <c r="DW26" s="190"/>
      <c r="DX26" s="190"/>
    </row>
    <row r="27" spans="1:128" ht="14.25">
      <c r="A27" s="69"/>
      <c r="B27" s="151" t="s">
        <v>105</v>
      </c>
      <c r="C27" s="152">
        <v>30</v>
      </c>
      <c r="D27" s="186">
        <f t="shared" si="26"/>
        <v>244</v>
      </c>
      <c r="E27" s="153">
        <v>20.1</v>
      </c>
      <c r="F27" s="249">
        <v>65.6</v>
      </c>
      <c r="G27" s="154">
        <f t="shared" si="1"/>
        <v>11.561396107868411</v>
      </c>
      <c r="H27" s="252">
        <f t="shared" si="27"/>
        <v>68.019230444336</v>
      </c>
      <c r="I27" s="157">
        <f t="shared" si="2"/>
        <v>-2.4192304443360086</v>
      </c>
      <c r="J27" s="157">
        <f t="shared" si="28"/>
        <v>-29.64549250834815</v>
      </c>
      <c r="K27" s="251">
        <f t="shared" si="42"/>
        <v>74.34491374166699</v>
      </c>
      <c r="L27" s="165">
        <f t="shared" si="29"/>
        <v>-1.8205071289533379</v>
      </c>
      <c r="M27" s="157">
        <f t="shared" si="30"/>
        <v>67.42050712895333</v>
      </c>
      <c r="N27" s="157">
        <f t="shared" si="3"/>
        <v>0.5987233153826708</v>
      </c>
      <c r="O27" s="251">
        <f t="shared" si="31"/>
        <v>0</v>
      </c>
      <c r="P27" s="197">
        <f t="shared" si="4"/>
        <v>74.34491374166699</v>
      </c>
      <c r="Q27" s="179"/>
      <c r="R27" s="201">
        <f t="shared" si="5"/>
        <v>7.724628908165237</v>
      </c>
      <c r="S27" s="201">
        <f t="shared" si="43"/>
        <v>86.71047080901309</v>
      </c>
      <c r="T27" s="201">
        <f t="shared" si="6"/>
        <v>11.561396107868411</v>
      </c>
      <c r="U27" s="202"/>
      <c r="V27" s="202"/>
      <c r="W27" s="202"/>
      <c r="X27" s="203"/>
      <c r="Y27" s="159"/>
      <c r="Z27" s="160"/>
      <c r="AA27" s="161" t="str">
        <f t="shared" si="7"/>
        <v>S</v>
      </c>
      <c r="AB27" s="160">
        <f t="shared" si="8"/>
        <v>-0.5987233153826708</v>
      </c>
      <c r="AC27" s="162">
        <f t="shared" si="32"/>
        <v>0</v>
      </c>
      <c r="AD27" s="160"/>
      <c r="AE27" s="163"/>
      <c r="AF27" s="159"/>
      <c r="AG27" s="159"/>
      <c r="AH27" s="159"/>
      <c r="AI27" s="163"/>
      <c r="AJ27" s="163"/>
      <c r="AK27" s="163"/>
      <c r="AL27" s="163"/>
      <c r="AM27" s="163"/>
      <c r="AN27" s="163"/>
      <c r="AO27" s="163"/>
      <c r="AP27" s="164" t="str">
        <f t="shared" si="9"/>
        <v>S</v>
      </c>
      <c r="AQ27" s="165">
        <f t="shared" si="10"/>
        <v>65.6</v>
      </c>
      <c r="AR27" s="165">
        <f t="shared" si="11"/>
        <v>68.019230444336</v>
      </c>
      <c r="AS27" s="166">
        <f t="shared" si="12"/>
        <v>67.42050712895333</v>
      </c>
      <c r="AT27" s="167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61" t="str">
        <f t="shared" si="13"/>
        <v>S</v>
      </c>
      <c r="BF27" s="160">
        <f t="shared" si="33"/>
        <v>100</v>
      </c>
      <c r="BG27" s="162">
        <f t="shared" si="14"/>
        <v>74.34491374166699</v>
      </c>
      <c r="BH27" s="159"/>
      <c r="BI27" s="159"/>
      <c r="BJ27" s="159"/>
      <c r="BK27" s="159"/>
      <c r="BL27" s="159"/>
      <c r="BM27" s="159"/>
      <c r="BN27" s="159"/>
      <c r="BO27" s="159"/>
      <c r="BP27" s="159"/>
      <c r="BQ27" s="172" t="str">
        <f t="shared" si="15"/>
        <v>S</v>
      </c>
      <c r="BR27" s="160">
        <f t="shared" si="16"/>
        <v>0</v>
      </c>
      <c r="BS27" s="160">
        <f t="shared" si="17"/>
        <v>-0.5987233153826708</v>
      </c>
      <c r="BT27" s="160">
        <f t="shared" si="18"/>
        <v>-1.8205071289533379</v>
      </c>
      <c r="BU27" s="173">
        <f t="shared" si="19"/>
        <v>0</v>
      </c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83"/>
      <c r="CI27" s="4">
        <v>1</v>
      </c>
      <c r="CK27" s="28">
        <f t="shared" si="20"/>
        <v>9</v>
      </c>
      <c r="CQ27" s="43">
        <f t="shared" si="21"/>
        <v>1</v>
      </c>
      <c r="CR27" s="43">
        <f aca="true" t="shared" si="49" ref="CR27:DB27">IF(AND(CQ26=1,CQ27=0),1,0)</f>
        <v>0</v>
      </c>
      <c r="CS27" s="43">
        <f t="shared" si="49"/>
        <v>0</v>
      </c>
      <c r="CT27" s="43">
        <f t="shared" si="49"/>
        <v>0</v>
      </c>
      <c r="CU27" s="43">
        <f t="shared" si="49"/>
        <v>0</v>
      </c>
      <c r="CV27" s="43">
        <f t="shared" si="49"/>
        <v>1</v>
      </c>
      <c r="CW27" s="43">
        <f t="shared" si="49"/>
        <v>0</v>
      </c>
      <c r="CX27" s="43">
        <f t="shared" si="49"/>
        <v>0</v>
      </c>
      <c r="CY27" s="43">
        <f t="shared" si="49"/>
        <v>0</v>
      </c>
      <c r="CZ27" s="43">
        <f t="shared" si="49"/>
        <v>0</v>
      </c>
      <c r="DA27" s="43">
        <f t="shared" si="49"/>
        <v>0</v>
      </c>
      <c r="DB27" s="43">
        <f t="shared" si="49"/>
        <v>0</v>
      </c>
      <c r="DC27" s="43">
        <f t="shared" si="35"/>
        <v>0</v>
      </c>
      <c r="DD27" s="43">
        <f t="shared" si="23"/>
        <v>0</v>
      </c>
      <c r="DE27" s="43">
        <f t="shared" si="36"/>
        <v>1</v>
      </c>
      <c r="DF27" s="250">
        <f t="shared" si="37"/>
        <v>74.34491374166699</v>
      </c>
      <c r="DG27" s="44"/>
      <c r="DH27" s="45">
        <f t="shared" si="24"/>
        <v>0</v>
      </c>
      <c r="DI27" s="44"/>
      <c r="DJ27" s="165">
        <f t="shared" si="38"/>
        <v>74.34491374166699</v>
      </c>
      <c r="DK27" s="171">
        <f t="shared" si="25"/>
        <v>0</v>
      </c>
      <c r="DL27" s="44"/>
      <c r="DM27" s="45">
        <f t="shared" si="39"/>
        <v>0</v>
      </c>
      <c r="DN27" s="45">
        <f t="shared" si="40"/>
        <v>264.7718129787388</v>
      </c>
      <c r="DO27" s="43">
        <f t="shared" si="41"/>
        <v>1</v>
      </c>
      <c r="DP27" s="44"/>
      <c r="DQ27" s="189"/>
      <c r="DR27" s="190"/>
      <c r="DS27" s="190"/>
      <c r="DT27" s="191"/>
      <c r="DU27" s="191"/>
      <c r="DV27" s="190"/>
      <c r="DW27" s="190"/>
      <c r="DX27" s="190"/>
    </row>
    <row r="28" spans="1:128" ht="14.25">
      <c r="A28" s="69"/>
      <c r="B28" s="151" t="s">
        <v>106</v>
      </c>
      <c r="C28" s="152">
        <v>31</v>
      </c>
      <c r="D28" s="186">
        <f t="shared" si="26"/>
        <v>274</v>
      </c>
      <c r="E28" s="153">
        <v>21.2</v>
      </c>
      <c r="F28" s="249">
        <v>123.6</v>
      </c>
      <c r="G28" s="154">
        <f t="shared" si="1"/>
        <v>12.238243225818772</v>
      </c>
      <c r="H28" s="252">
        <f t="shared" si="27"/>
        <v>85.00225777146017</v>
      </c>
      <c r="I28" s="157">
        <f t="shared" si="2"/>
        <v>38.59774222853983</v>
      </c>
      <c r="J28" s="157">
        <f t="shared" si="28"/>
        <v>0</v>
      </c>
      <c r="K28" s="251">
        <f t="shared" si="42"/>
        <v>100</v>
      </c>
      <c r="L28" s="165">
        <f t="shared" si="29"/>
        <v>25.655086258333014</v>
      </c>
      <c r="M28" s="157">
        <f t="shared" si="30"/>
        <v>85.00225777146017</v>
      </c>
      <c r="N28" s="157">
        <f t="shared" si="3"/>
        <v>0</v>
      </c>
      <c r="O28" s="251">
        <f t="shared" si="31"/>
        <v>12.942655970206815</v>
      </c>
      <c r="P28" s="197">
        <f t="shared" si="4"/>
        <v>100</v>
      </c>
      <c r="Q28" s="179"/>
      <c r="R28" s="201">
        <f t="shared" si="5"/>
        <v>-4.2155264352644215</v>
      </c>
      <c r="S28" s="201">
        <f t="shared" si="43"/>
        <v>91.7868241936408</v>
      </c>
      <c r="T28" s="201">
        <f t="shared" si="6"/>
        <v>12.238243225818772</v>
      </c>
      <c r="U28" s="202"/>
      <c r="V28" s="202"/>
      <c r="W28" s="202"/>
      <c r="X28" s="203"/>
      <c r="Y28" s="159"/>
      <c r="Z28" s="160"/>
      <c r="AA28" s="161" t="str">
        <f t="shared" si="7"/>
        <v>O</v>
      </c>
      <c r="AB28" s="160">
        <f t="shared" si="8"/>
        <v>0</v>
      </c>
      <c r="AC28" s="162">
        <f t="shared" si="32"/>
        <v>12.942655970206815</v>
      </c>
      <c r="AD28" s="160"/>
      <c r="AE28" s="163"/>
      <c r="AF28" s="159"/>
      <c r="AG28" s="159"/>
      <c r="AH28" s="159"/>
      <c r="AI28" s="163"/>
      <c r="AJ28" s="163"/>
      <c r="AK28" s="163"/>
      <c r="AL28" s="163"/>
      <c r="AM28" s="163"/>
      <c r="AN28" s="163"/>
      <c r="AO28" s="163"/>
      <c r="AP28" s="164" t="str">
        <f t="shared" si="9"/>
        <v>O</v>
      </c>
      <c r="AQ28" s="165">
        <f t="shared" si="10"/>
        <v>123.6</v>
      </c>
      <c r="AR28" s="165">
        <f t="shared" si="11"/>
        <v>85.00225777146017</v>
      </c>
      <c r="AS28" s="166">
        <f t="shared" si="12"/>
        <v>85.00225777146017</v>
      </c>
      <c r="AT28" s="167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61" t="str">
        <f t="shared" si="13"/>
        <v>O</v>
      </c>
      <c r="BF28" s="160">
        <f t="shared" si="33"/>
        <v>100</v>
      </c>
      <c r="BG28" s="162">
        <f t="shared" si="14"/>
        <v>100</v>
      </c>
      <c r="BH28" s="159"/>
      <c r="BI28" s="159"/>
      <c r="BJ28" s="159"/>
      <c r="BK28" s="159"/>
      <c r="BL28" s="159"/>
      <c r="BM28" s="159"/>
      <c r="BN28" s="159"/>
      <c r="BO28" s="159"/>
      <c r="BP28" s="159"/>
      <c r="BQ28" s="172" t="str">
        <f t="shared" si="15"/>
        <v>O</v>
      </c>
      <c r="BR28" s="160">
        <f t="shared" si="16"/>
        <v>12.942655970206815</v>
      </c>
      <c r="BS28" s="160">
        <f t="shared" si="17"/>
        <v>0</v>
      </c>
      <c r="BT28" s="160">
        <f t="shared" si="18"/>
        <v>0</v>
      </c>
      <c r="BU28" s="173">
        <f t="shared" si="19"/>
        <v>25.655086258333014</v>
      </c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83"/>
      <c r="CI28" s="4">
        <v>1</v>
      </c>
      <c r="CK28" s="28">
        <f t="shared" si="20"/>
        <v>10</v>
      </c>
      <c r="CQ28" s="43">
        <f t="shared" si="21"/>
        <v>0</v>
      </c>
      <c r="CR28" s="43">
        <f aca="true" t="shared" si="50" ref="CR28:DB28">IF(AND(CQ27=1,CQ28=0),1,0)</f>
        <v>1</v>
      </c>
      <c r="CS28" s="43">
        <f t="shared" si="50"/>
        <v>0</v>
      </c>
      <c r="CT28" s="43">
        <f t="shared" si="50"/>
        <v>0</v>
      </c>
      <c r="CU28" s="43">
        <f t="shared" si="50"/>
        <v>0</v>
      </c>
      <c r="CV28" s="43">
        <f t="shared" si="50"/>
        <v>0</v>
      </c>
      <c r="CW28" s="43">
        <f t="shared" si="50"/>
        <v>1</v>
      </c>
      <c r="CX28" s="43">
        <f t="shared" si="50"/>
        <v>0</v>
      </c>
      <c r="CY28" s="43">
        <f t="shared" si="50"/>
        <v>0</v>
      </c>
      <c r="CZ28" s="43">
        <f t="shared" si="50"/>
        <v>0</v>
      </c>
      <c r="DA28" s="43">
        <f t="shared" si="50"/>
        <v>0</v>
      </c>
      <c r="DB28" s="43">
        <f t="shared" si="50"/>
        <v>0</v>
      </c>
      <c r="DC28" s="43">
        <f t="shared" si="35"/>
        <v>0</v>
      </c>
      <c r="DD28" s="43">
        <f t="shared" si="23"/>
        <v>0</v>
      </c>
      <c r="DE28" s="43">
        <f t="shared" si="36"/>
        <v>1</v>
      </c>
      <c r="DF28" s="250">
        <f t="shared" si="37"/>
        <v>112.94265597020681</v>
      </c>
      <c r="DG28" s="44"/>
      <c r="DH28" s="45">
        <f t="shared" si="24"/>
        <v>12.942655970206815</v>
      </c>
      <c r="DI28" s="44"/>
      <c r="DJ28" s="165">
        <f t="shared" si="38"/>
        <v>100</v>
      </c>
      <c r="DK28" s="171">
        <f t="shared" si="25"/>
        <v>12.942655970206815</v>
      </c>
      <c r="DL28" s="44"/>
      <c r="DM28" s="45">
        <f t="shared" si="39"/>
        <v>38.59774222853983</v>
      </c>
      <c r="DN28" s="45">
        <f t="shared" si="40"/>
        <v>303.3695552072786</v>
      </c>
      <c r="DO28" s="43">
        <f t="shared" si="41"/>
        <v>1</v>
      </c>
      <c r="DP28" s="44"/>
      <c r="DQ28" s="189"/>
      <c r="DR28" s="190"/>
      <c r="DS28" s="190"/>
      <c r="DT28" s="191"/>
      <c r="DU28" s="191"/>
      <c r="DV28" s="190"/>
      <c r="DW28" s="190"/>
      <c r="DX28" s="190"/>
    </row>
    <row r="29" spans="1:128" ht="14.25">
      <c r="A29" s="69"/>
      <c r="B29" s="151" t="s">
        <v>15</v>
      </c>
      <c r="C29" s="152">
        <v>30</v>
      </c>
      <c r="D29" s="186">
        <f t="shared" si="26"/>
        <v>305</v>
      </c>
      <c r="E29" s="153">
        <v>22</v>
      </c>
      <c r="F29" s="249">
        <v>137.5</v>
      </c>
      <c r="G29" s="154">
        <f t="shared" si="1"/>
        <v>12.889961325285457</v>
      </c>
      <c r="H29" s="252">
        <f t="shared" si="27"/>
        <v>95.0472609549352</v>
      </c>
      <c r="I29" s="157">
        <f t="shared" si="2"/>
        <v>42.4527390450648</v>
      </c>
      <c r="J29" s="157">
        <f t="shared" si="28"/>
        <v>0</v>
      </c>
      <c r="K29" s="251">
        <f t="shared" si="42"/>
        <v>100</v>
      </c>
      <c r="L29" s="165">
        <f t="shared" si="29"/>
        <v>0</v>
      </c>
      <c r="M29" s="157">
        <f t="shared" si="30"/>
        <v>95.0472609549352</v>
      </c>
      <c r="N29" s="157">
        <f t="shared" si="3"/>
        <v>0</v>
      </c>
      <c r="O29" s="251">
        <f t="shared" si="31"/>
        <v>42.4527390450648</v>
      </c>
      <c r="P29" s="197">
        <f t="shared" si="4"/>
        <v>100</v>
      </c>
      <c r="Q29" s="179"/>
      <c r="R29" s="201">
        <f t="shared" si="5"/>
        <v>-15.363416576553035</v>
      </c>
      <c r="S29" s="201">
        <f t="shared" si="43"/>
        <v>96.67470993964092</v>
      </c>
      <c r="T29" s="201">
        <f t="shared" si="6"/>
        <v>12.889961325285457</v>
      </c>
      <c r="U29" s="202"/>
      <c r="V29" s="202"/>
      <c r="W29" s="202"/>
      <c r="X29" s="203"/>
      <c r="Y29" s="159"/>
      <c r="Z29" s="160"/>
      <c r="AA29" s="161" t="str">
        <f t="shared" si="7"/>
        <v>N</v>
      </c>
      <c r="AB29" s="160">
        <f t="shared" si="8"/>
        <v>0</v>
      </c>
      <c r="AC29" s="162">
        <f t="shared" si="32"/>
        <v>42.4527390450648</v>
      </c>
      <c r="AD29" s="160"/>
      <c r="AE29" s="163"/>
      <c r="AF29" s="159"/>
      <c r="AG29" s="159"/>
      <c r="AH29" s="159"/>
      <c r="AI29" s="163"/>
      <c r="AJ29" s="163"/>
      <c r="AK29" s="163"/>
      <c r="AL29" s="163"/>
      <c r="AM29" s="163"/>
      <c r="AN29" s="163"/>
      <c r="AO29" s="163"/>
      <c r="AP29" s="164" t="str">
        <f t="shared" si="9"/>
        <v>N</v>
      </c>
      <c r="AQ29" s="165">
        <f t="shared" si="10"/>
        <v>137.5</v>
      </c>
      <c r="AR29" s="165">
        <f t="shared" si="11"/>
        <v>95.0472609549352</v>
      </c>
      <c r="AS29" s="166">
        <f t="shared" si="12"/>
        <v>95.0472609549352</v>
      </c>
      <c r="AT29" s="167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61" t="str">
        <f t="shared" si="13"/>
        <v>N</v>
      </c>
      <c r="BF29" s="160">
        <f t="shared" si="33"/>
        <v>100</v>
      </c>
      <c r="BG29" s="162">
        <f t="shared" si="14"/>
        <v>100</v>
      </c>
      <c r="BH29" s="159"/>
      <c r="BI29" s="159"/>
      <c r="BJ29" s="159"/>
      <c r="BK29" s="159"/>
      <c r="BL29" s="159"/>
      <c r="BM29" s="159"/>
      <c r="BN29" s="159"/>
      <c r="BO29" s="159"/>
      <c r="BP29" s="159"/>
      <c r="BQ29" s="172" t="str">
        <f t="shared" si="15"/>
        <v>N</v>
      </c>
      <c r="BR29" s="160">
        <f t="shared" si="16"/>
        <v>42.4527390450648</v>
      </c>
      <c r="BS29" s="160">
        <f t="shared" si="17"/>
        <v>0</v>
      </c>
      <c r="BT29" s="160">
        <f t="shared" si="18"/>
        <v>0</v>
      </c>
      <c r="BU29" s="173">
        <f t="shared" si="19"/>
        <v>0</v>
      </c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83"/>
      <c r="CI29" s="4">
        <v>1</v>
      </c>
      <c r="CK29" s="28">
        <f t="shared" si="20"/>
        <v>11</v>
      </c>
      <c r="CQ29" s="43">
        <f t="shared" si="21"/>
        <v>0</v>
      </c>
      <c r="CR29" s="43">
        <f aca="true" t="shared" si="51" ref="CR29:DB29">IF(AND(CQ28=1,CQ29=0),1,0)</f>
        <v>0</v>
      </c>
      <c r="CS29" s="43">
        <f t="shared" si="51"/>
        <v>1</v>
      </c>
      <c r="CT29" s="43">
        <f t="shared" si="51"/>
        <v>0</v>
      </c>
      <c r="CU29" s="43">
        <f t="shared" si="51"/>
        <v>0</v>
      </c>
      <c r="CV29" s="43">
        <f t="shared" si="51"/>
        <v>0</v>
      </c>
      <c r="CW29" s="43">
        <f t="shared" si="51"/>
        <v>0</v>
      </c>
      <c r="CX29" s="43">
        <f t="shared" si="51"/>
        <v>1</v>
      </c>
      <c r="CY29" s="43">
        <f t="shared" si="51"/>
        <v>0</v>
      </c>
      <c r="CZ29" s="43">
        <f t="shared" si="51"/>
        <v>0</v>
      </c>
      <c r="DA29" s="43">
        <f t="shared" si="51"/>
        <v>0</v>
      </c>
      <c r="DB29" s="43">
        <f t="shared" si="51"/>
        <v>0</v>
      </c>
      <c r="DC29" s="43">
        <f t="shared" si="35"/>
        <v>0</v>
      </c>
      <c r="DD29" s="43">
        <f t="shared" si="23"/>
        <v>0</v>
      </c>
      <c r="DE29" s="43">
        <f t="shared" si="36"/>
        <v>1</v>
      </c>
      <c r="DF29" s="250">
        <f t="shared" si="37"/>
        <v>155.39539501527162</v>
      </c>
      <c r="DG29" s="44"/>
      <c r="DH29" s="45">
        <f t="shared" si="24"/>
        <v>42.4527390450648</v>
      </c>
      <c r="DI29" s="44"/>
      <c r="DJ29" s="165">
        <f t="shared" si="38"/>
        <v>100</v>
      </c>
      <c r="DK29" s="171">
        <f t="shared" si="25"/>
        <v>42.4527390450648</v>
      </c>
      <c r="DL29" s="44"/>
      <c r="DM29" s="45">
        <f t="shared" si="39"/>
        <v>81.05048127360463</v>
      </c>
      <c r="DN29" s="45">
        <f t="shared" si="40"/>
        <v>345.8222942523434</v>
      </c>
      <c r="DO29" s="43">
        <f t="shared" si="41"/>
        <v>1</v>
      </c>
      <c r="DP29" s="44"/>
      <c r="DQ29" s="189"/>
      <c r="DR29" s="190"/>
      <c r="DS29" s="190"/>
      <c r="DT29" s="191"/>
      <c r="DU29" s="191"/>
      <c r="DV29" s="190"/>
      <c r="DW29" s="190"/>
      <c r="DX29" s="190"/>
    </row>
    <row r="30" spans="1:128" ht="14.25">
      <c r="A30" s="69"/>
      <c r="B30" s="151" t="s">
        <v>107</v>
      </c>
      <c r="C30" s="152">
        <v>31</v>
      </c>
      <c r="D30" s="186">
        <f t="shared" si="26"/>
        <v>335</v>
      </c>
      <c r="E30" s="153">
        <v>22.5</v>
      </c>
      <c r="F30" s="249">
        <v>217.1</v>
      </c>
      <c r="G30" s="154">
        <f t="shared" si="1"/>
        <v>13.319330929293999</v>
      </c>
      <c r="H30" s="252">
        <f t="shared" si="27"/>
        <v>107.35207257249874</v>
      </c>
      <c r="I30" s="157">
        <f t="shared" si="2"/>
        <v>109.74792742750125</v>
      </c>
      <c r="J30" s="157">
        <f t="shared" si="28"/>
        <v>0</v>
      </c>
      <c r="K30" s="251">
        <f t="shared" si="42"/>
        <v>100</v>
      </c>
      <c r="L30" s="165">
        <f t="shared" si="29"/>
        <v>0</v>
      </c>
      <c r="M30" s="157">
        <f t="shared" si="30"/>
        <v>107.35207257249874</v>
      </c>
      <c r="N30" s="157">
        <f t="shared" si="3"/>
        <v>0</v>
      </c>
      <c r="O30" s="251">
        <f t="shared" si="31"/>
        <v>109.74792742750125</v>
      </c>
      <c r="P30" s="197">
        <f t="shared" si="4"/>
        <v>100</v>
      </c>
      <c r="Q30" s="179"/>
      <c r="R30" s="201">
        <f t="shared" si="5"/>
        <v>-22.107748812505363</v>
      </c>
      <c r="S30" s="201">
        <f t="shared" si="43"/>
        <v>99.89498196970499</v>
      </c>
      <c r="T30" s="201">
        <f t="shared" si="6"/>
        <v>13.319330929293999</v>
      </c>
      <c r="U30" s="202"/>
      <c r="V30" s="202"/>
      <c r="W30" s="202"/>
      <c r="X30" s="203"/>
      <c r="Y30" s="159"/>
      <c r="Z30" s="160"/>
      <c r="AA30" s="161" t="str">
        <f t="shared" si="7"/>
        <v>D</v>
      </c>
      <c r="AB30" s="160">
        <f t="shared" si="8"/>
        <v>0</v>
      </c>
      <c r="AC30" s="162">
        <f t="shared" si="32"/>
        <v>109.74792742750125</v>
      </c>
      <c r="AD30" s="160"/>
      <c r="AE30" s="163"/>
      <c r="AF30" s="159"/>
      <c r="AG30" s="159"/>
      <c r="AH30" s="159"/>
      <c r="AI30" s="163"/>
      <c r="AJ30" s="163"/>
      <c r="AK30" s="163"/>
      <c r="AL30" s="163"/>
      <c r="AM30" s="163"/>
      <c r="AN30" s="163"/>
      <c r="AO30" s="163"/>
      <c r="AP30" s="164" t="str">
        <f t="shared" si="9"/>
        <v>D</v>
      </c>
      <c r="AQ30" s="165">
        <f t="shared" si="10"/>
        <v>217.1</v>
      </c>
      <c r="AR30" s="165">
        <f t="shared" si="11"/>
        <v>107.35207257249874</v>
      </c>
      <c r="AS30" s="166">
        <f t="shared" si="12"/>
        <v>107.35207257249874</v>
      </c>
      <c r="AT30" s="167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61" t="str">
        <f t="shared" si="13"/>
        <v>D</v>
      </c>
      <c r="BF30" s="160">
        <f t="shared" si="33"/>
        <v>100</v>
      </c>
      <c r="BG30" s="162">
        <f t="shared" si="14"/>
        <v>100</v>
      </c>
      <c r="BH30" s="159"/>
      <c r="BI30" s="159"/>
      <c r="BJ30" s="159"/>
      <c r="BK30" s="159"/>
      <c r="BL30" s="159"/>
      <c r="BM30" s="159"/>
      <c r="BN30" s="159"/>
      <c r="BO30" s="159"/>
      <c r="BP30" s="159"/>
      <c r="BQ30" s="172" t="str">
        <f t="shared" si="15"/>
        <v>D</v>
      </c>
      <c r="BR30" s="160">
        <f t="shared" si="16"/>
        <v>109.74792742750125</v>
      </c>
      <c r="BS30" s="160">
        <f t="shared" si="17"/>
        <v>0</v>
      </c>
      <c r="BT30" s="160">
        <f t="shared" si="18"/>
        <v>0</v>
      </c>
      <c r="BU30" s="173">
        <f t="shared" si="19"/>
        <v>0</v>
      </c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83"/>
      <c r="CI30" s="4">
        <v>1</v>
      </c>
      <c r="CK30" s="28">
        <f t="shared" si="20"/>
        <v>12</v>
      </c>
      <c r="CQ30" s="43">
        <f t="shared" si="21"/>
        <v>0</v>
      </c>
      <c r="CR30" s="43">
        <f aca="true" t="shared" si="52" ref="CR30:DB30">IF(AND(CQ29=1,CQ30=0),1,0)</f>
        <v>0</v>
      </c>
      <c r="CS30" s="43">
        <f t="shared" si="52"/>
        <v>0</v>
      </c>
      <c r="CT30" s="43">
        <f t="shared" si="52"/>
        <v>1</v>
      </c>
      <c r="CU30" s="43">
        <f t="shared" si="52"/>
        <v>0</v>
      </c>
      <c r="CV30" s="43">
        <f t="shared" si="52"/>
        <v>0</v>
      </c>
      <c r="CW30" s="43">
        <f t="shared" si="52"/>
        <v>0</v>
      </c>
      <c r="CX30" s="43">
        <f t="shared" si="52"/>
        <v>0</v>
      </c>
      <c r="CY30" s="43">
        <f t="shared" si="52"/>
        <v>1</v>
      </c>
      <c r="CZ30" s="43">
        <f t="shared" si="52"/>
        <v>0</v>
      </c>
      <c r="DA30" s="43">
        <f t="shared" si="52"/>
        <v>0</v>
      </c>
      <c r="DB30" s="43">
        <f t="shared" si="52"/>
        <v>0</v>
      </c>
      <c r="DC30" s="43">
        <f t="shared" si="35"/>
        <v>0</v>
      </c>
      <c r="DD30" s="43">
        <f t="shared" si="23"/>
        <v>0</v>
      </c>
      <c r="DE30" s="43">
        <f t="shared" si="36"/>
        <v>1</v>
      </c>
      <c r="DF30" s="250">
        <f t="shared" si="37"/>
        <v>265.14332244277284</v>
      </c>
      <c r="DG30" s="44"/>
      <c r="DH30" s="45">
        <f t="shared" si="24"/>
        <v>109.74792742750125</v>
      </c>
      <c r="DI30" s="44"/>
      <c r="DJ30" s="165">
        <f t="shared" si="38"/>
        <v>100</v>
      </c>
      <c r="DK30" s="171">
        <f t="shared" si="25"/>
        <v>109.74792742750125</v>
      </c>
      <c r="DL30" s="44"/>
      <c r="DM30" s="45">
        <f t="shared" si="39"/>
        <v>190.79840870110587</v>
      </c>
      <c r="DN30" s="45">
        <f t="shared" si="40"/>
        <v>455.5702216798446</v>
      </c>
      <c r="DO30" s="43">
        <f t="shared" si="41"/>
        <v>1</v>
      </c>
      <c r="DP30" s="44"/>
      <c r="DQ30" s="189"/>
      <c r="DR30" s="190"/>
      <c r="DS30" s="190"/>
      <c r="DT30" s="191"/>
      <c r="DU30" s="191"/>
      <c r="DV30" s="190"/>
      <c r="DW30" s="190"/>
      <c r="DX30" s="190"/>
    </row>
    <row r="31" spans="1:128" ht="14.25">
      <c r="A31" s="69"/>
      <c r="B31" s="151" t="s">
        <v>101</v>
      </c>
      <c r="C31" s="152">
        <v>31</v>
      </c>
      <c r="D31" s="186">
        <f>IF(D30+C30&gt;365,((D30+C30)-365),D30+C30)</f>
        <v>1</v>
      </c>
      <c r="E31" s="153">
        <v>0</v>
      </c>
      <c r="F31" s="249">
        <v>0</v>
      </c>
      <c r="G31" s="154">
        <f>T31</f>
        <v>13.380060663306242</v>
      </c>
      <c r="H31" s="252">
        <f>IF(E31&lt;26.5,16*((10*(E31/$K$9))^$K$11)*(T31/12)*(C31/30),(-415.85+32.24*E31-0.43*E31^2)*(T31/12)*(C31/30))</f>
        <v>0</v>
      </c>
      <c r="I31" s="157">
        <f>IF(DO31=1,F31-H31,"")</f>
        <v>0</v>
      </c>
      <c r="J31" s="157">
        <f>IF(DO31=1,IF(DE31=0,0,IF(I31&lt;0,J30+I31,IF(I31&gt;=0,cad1*LN(DJ31/cad1)))),"")</f>
        <v>0</v>
      </c>
      <c r="K31" s="251">
        <f>IF(DH31&gt;=0,DJ31,IF(DJ31+DH31&gt;C22,C22,DJ31+DH31))</f>
        <v>100</v>
      </c>
      <c r="L31" s="165">
        <f>IF(DO31=1,DJ31-DJ30,"")</f>
        <v>0</v>
      </c>
      <c r="M31" s="157">
        <f>IF(DO31=1,IF(I31&gt;=0,H31,F31+ABS(L31)),"")</f>
        <v>0</v>
      </c>
      <c r="N31" s="157">
        <f>IF(DO31=1,H31-M31,"")</f>
        <v>0</v>
      </c>
      <c r="O31" s="251">
        <f>IF(DK31&lt;0,0,DK31)</f>
        <v>0</v>
      </c>
      <c r="P31" s="197">
        <f>DJ31*100/$C$11</f>
        <v>100</v>
      </c>
      <c r="Q31" s="179"/>
      <c r="R31" s="201">
        <f>23.45*SIN(RADIANS((360/365)*(D31-81)))</f>
        <v>-23.011636727869238</v>
      </c>
      <c r="S31" s="201">
        <f t="shared" si="43"/>
        <v>100.35045497479682</v>
      </c>
      <c r="T31" s="201">
        <f t="shared" si="6"/>
        <v>13.380060663306242</v>
      </c>
      <c r="U31" s="202"/>
      <c r="V31" s="202"/>
      <c r="W31" s="202"/>
      <c r="X31" s="203"/>
      <c r="Y31" s="159"/>
      <c r="Z31" s="160"/>
      <c r="AA31" s="161" t="str">
        <f>IF(J31="","",B31)</f>
        <v>J</v>
      </c>
      <c r="AB31" s="160">
        <f>IF(J31="","",IF(DK31&lt;&gt;N31,N31*-1,0))</f>
        <v>0</v>
      </c>
      <c r="AC31" s="162">
        <f>IF(J31="","",IF(O31&lt;&gt;N31,O31,0))</f>
        <v>0</v>
      </c>
      <c r="AD31" s="160"/>
      <c r="AE31" s="163"/>
      <c r="AF31" s="159"/>
      <c r="AG31" s="159"/>
      <c r="AH31" s="159"/>
      <c r="AI31" s="163"/>
      <c r="AJ31" s="163"/>
      <c r="AK31" s="163"/>
      <c r="AL31" s="163"/>
      <c r="AM31" s="163"/>
      <c r="AN31" s="163"/>
      <c r="AO31" s="163"/>
      <c r="AP31" s="164" t="str">
        <f>IF(J31="","",B31)</f>
        <v>J</v>
      </c>
      <c r="AQ31" s="165">
        <f>IF(J31="","",F31)</f>
        <v>0</v>
      </c>
      <c r="AR31" s="165">
        <f>IF(J31="","",H31)</f>
        <v>0</v>
      </c>
      <c r="AS31" s="166">
        <f>IF(J31="","",M31)</f>
        <v>0</v>
      </c>
      <c r="AT31" s="167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61" t="str">
        <f>IF(J31="","",B31)</f>
        <v>J</v>
      </c>
      <c r="BF31" s="160">
        <f t="shared" si="33"/>
        <v>100</v>
      </c>
      <c r="BG31" s="162">
        <f>IF(J31="","",DJ31)</f>
        <v>100</v>
      </c>
      <c r="BH31" s="159"/>
      <c r="BI31" s="159"/>
      <c r="BJ31" s="159"/>
      <c r="BK31" s="159"/>
      <c r="BL31" s="159"/>
      <c r="BM31" s="159"/>
      <c r="BN31" s="159"/>
      <c r="BO31" s="159"/>
      <c r="BP31" s="159"/>
      <c r="BQ31" s="172" t="str">
        <f>IF(J31="","",B31)</f>
        <v>J</v>
      </c>
      <c r="BR31" s="160">
        <f>IF(J31="","",DK31)</f>
        <v>0</v>
      </c>
      <c r="BS31" s="160">
        <f>IF(J31="","",N31*-1)</f>
        <v>0</v>
      </c>
      <c r="BT31" s="160">
        <f>IF(J31="","",IF(L31&lt;0,L31,0))</f>
        <v>0</v>
      </c>
      <c r="BU31" s="173">
        <f>IF(J31="","",IF(L31&gt;=0,L31,0))</f>
        <v>0</v>
      </c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83"/>
      <c r="CI31" s="4">
        <v>1</v>
      </c>
      <c r="CK31" s="28">
        <f>CK30+1</f>
        <v>13</v>
      </c>
      <c r="CQ31" s="43">
        <f>IF(I31&lt;0,1,0)</f>
        <v>0</v>
      </c>
      <c r="CR31" s="43">
        <f>IF(AND(CQ30=1,CQ31=0),1,0)</f>
        <v>0</v>
      </c>
      <c r="CS31" s="43">
        <f>IF(AND(CR30=1,CR31=0),1,0)</f>
        <v>0</v>
      </c>
      <c r="CT31" s="43">
        <f>IF(AND(CS30=1,CS31=0),1,0)</f>
        <v>0</v>
      </c>
      <c r="CU31" s="43">
        <f>IF(AND(CT30=1,CT31=0),1,0)</f>
        <v>1</v>
      </c>
      <c r="CV31" s="43">
        <f>IF(AND(CU30=1,CU31=0),1,0)</f>
        <v>0</v>
      </c>
      <c r="CW31" s="43">
        <f>IF(AND(CV30=1,CV31=0),1,0)</f>
        <v>0</v>
      </c>
      <c r="CX31" s="43">
        <f>IF(AND(CW30=1,CW31=0),1,0)</f>
        <v>0</v>
      </c>
      <c r="CY31" s="43">
        <f>IF(AND(CX30=1,CX31=0),1,0)</f>
        <v>0</v>
      </c>
      <c r="CZ31" s="43">
        <f>IF(AND(CY30=1,CY31=0),1,0)</f>
        <v>1</v>
      </c>
      <c r="DA31" s="43">
        <f>IF(AND(CZ30=1,CZ31=0),1,0)</f>
        <v>0</v>
      </c>
      <c r="DB31" s="43">
        <f>IF(AND(DA30=1,DA31=0),1,0)</f>
        <v>0</v>
      </c>
      <c r="DC31" s="43">
        <f>IF(AND($DN$45=1,OR(DM31=$DM$44,DC30=1)),1,0)</f>
        <v>0</v>
      </c>
      <c r="DD31" s="43">
        <f>IF(AND(DC31=1,DC30=0),I31,0)</f>
        <v>0</v>
      </c>
      <c r="DE31" s="43">
        <f>IF(OR(CQ31=1,CR31=1,CS31=1,CT31=1,CU31=1,CV31=1,CW31=1,CX31=1,CY31=1,CZ31=1,DA31=1,DB31=1,DC31=1),1,0)</f>
        <v>1</v>
      </c>
      <c r="DF31" s="250" t="b">
        <f>IF(DO31=1,IF(DE31=0,IF($DN$45=1,$DD$44,cad1),IF(I31&lt;0,cad1*EXP(J31/cad1),IF(I31&gt;0,DF30+ABS(I31)))),"")</f>
        <v>0</v>
      </c>
      <c r="DG31" s="44"/>
      <c r="DH31" s="45">
        <f>DK31</f>
        <v>0</v>
      </c>
      <c r="DI31" s="44"/>
      <c r="DJ31" s="165">
        <f>IF(DO31=1,IF(DF31&gt;cad1,cad1,DF31),"")</f>
        <v>100</v>
      </c>
      <c r="DK31" s="171">
        <f>IF(DO31=1,IF(DJ31&lt;cad1,0,IF(DJ31=cad1,I31-L31)),"")</f>
        <v>0</v>
      </c>
      <c r="DL31" s="44"/>
      <c r="DM31" s="45">
        <f>IF(DO31=1,IF(I31&lt;0,0,I31+DM30),"")</f>
        <v>190.79840870110587</v>
      </c>
      <c r="DN31" s="45">
        <f>IF(DO31=1,IF(I31&lt;0,DN30,DN30+I31),"")</f>
        <v>455.5702216798446</v>
      </c>
      <c r="DO31" s="43">
        <f>IF(OR(B31="fim",DO30=0),0,1)</f>
        <v>1</v>
      </c>
      <c r="DP31" s="44"/>
      <c r="DQ31" s="189"/>
      <c r="DR31" s="190"/>
      <c r="DS31" s="190"/>
      <c r="DT31" s="191"/>
      <c r="DU31" s="191"/>
      <c r="DV31" s="190"/>
      <c r="DW31" s="190"/>
      <c r="DX31" s="190"/>
    </row>
    <row r="32" spans="1:128" ht="14.25">
      <c r="A32" s="69"/>
      <c r="B32" s="151" t="s">
        <v>102</v>
      </c>
      <c r="C32" s="152">
        <v>28</v>
      </c>
      <c r="D32" s="186">
        <f>IF(D31+C31&gt;365,((D31+C31)-365),D31+C31)</f>
        <v>32</v>
      </c>
      <c r="E32" s="153">
        <v>0</v>
      </c>
      <c r="F32" s="249">
        <v>0</v>
      </c>
      <c r="G32" s="154">
        <f>T32</f>
        <v>13.023041572119029</v>
      </c>
      <c r="H32" s="252">
        <f>IF(E32&lt;26.5,16*((10*(E32/$K$9))^$K$11)*(T32/12)*(C32/30),(-415.85+32.24*E32-0.43*E32^2)*(T32/12)*(C32/30))</f>
        <v>0</v>
      </c>
      <c r="I32" s="157">
        <f>IF(DO32=1,F32-H32,"")</f>
        <v>0</v>
      </c>
      <c r="J32" s="157">
        <f>IF(DO32=1,IF(DE32=0,0,IF(I32&lt;0,J31+I32,IF(I32&gt;=0,cad1*LN(DJ32/cad1)))),"")</f>
        <v>0</v>
      </c>
      <c r="K32" s="251">
        <f>IF(DH32&gt;=0,DJ32,IF(DJ32+DH32&gt;C23,C23,DJ32+DH32))</f>
        <v>100</v>
      </c>
      <c r="L32" s="165">
        <f>IF(DO32=1,DJ32-DJ31,"")</f>
        <v>0</v>
      </c>
      <c r="M32" s="157">
        <f>IF(DO32=1,IF(I32&gt;=0,H32,F32+ABS(L32)),"")</f>
        <v>0</v>
      </c>
      <c r="N32" s="157">
        <f>IF(DO32=1,H32-M32,"")</f>
        <v>0</v>
      </c>
      <c r="O32" s="251">
        <f>IF(DK32&lt;0,0,DK32)</f>
        <v>0</v>
      </c>
      <c r="P32" s="197">
        <f>DJ32*100/$C$11</f>
        <v>100</v>
      </c>
      <c r="Q32" s="179"/>
      <c r="R32" s="201">
        <f>23.45*SIN(RADIANS((360/365)*(D32-81)))</f>
        <v>-17.51649545648422</v>
      </c>
      <c r="S32" s="201">
        <f t="shared" si="43"/>
        <v>97.67281179089271</v>
      </c>
      <c r="T32" s="201">
        <f t="shared" si="6"/>
        <v>13.023041572119029</v>
      </c>
      <c r="U32" s="202"/>
      <c r="V32" s="202"/>
      <c r="W32" s="202"/>
      <c r="X32" s="203"/>
      <c r="Y32" s="159"/>
      <c r="Z32" s="160"/>
      <c r="AA32" s="161" t="str">
        <f>IF(J32="","",B32)</f>
        <v>F</v>
      </c>
      <c r="AB32" s="160">
        <f>IF(J32="","",IF(DK32&lt;&gt;N32,N32*-1,0))</f>
        <v>0</v>
      </c>
      <c r="AC32" s="162">
        <f>IF(J32="","",IF(O32&lt;&gt;N32,O32,0))</f>
        <v>0</v>
      </c>
      <c r="AD32" s="160"/>
      <c r="AE32" s="163"/>
      <c r="AF32" s="159"/>
      <c r="AG32" s="159"/>
      <c r="AH32" s="159"/>
      <c r="AI32" s="163"/>
      <c r="AJ32" s="163"/>
      <c r="AK32" s="163"/>
      <c r="AL32" s="163"/>
      <c r="AM32" s="163"/>
      <c r="AN32" s="163"/>
      <c r="AO32" s="163"/>
      <c r="AP32" s="164" t="str">
        <f>IF(J32="","",B32)</f>
        <v>F</v>
      </c>
      <c r="AQ32" s="165">
        <f>IF(J32="","",F32)</f>
        <v>0</v>
      </c>
      <c r="AR32" s="165">
        <f>IF(J32="","",H32)</f>
        <v>0</v>
      </c>
      <c r="AS32" s="166">
        <f>IF(J32="","",M32)</f>
        <v>0</v>
      </c>
      <c r="AT32" s="167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61" t="str">
        <f>IF(J32="","",B32)</f>
        <v>F</v>
      </c>
      <c r="BF32" s="160">
        <f t="shared" si="33"/>
        <v>100</v>
      </c>
      <c r="BG32" s="162">
        <f>IF(J32="","",DJ32)</f>
        <v>100</v>
      </c>
      <c r="BH32" s="159"/>
      <c r="BI32" s="159"/>
      <c r="BJ32" s="159"/>
      <c r="BK32" s="159"/>
      <c r="BL32" s="159"/>
      <c r="BM32" s="159"/>
      <c r="BN32" s="159"/>
      <c r="BO32" s="159"/>
      <c r="BP32" s="159"/>
      <c r="BQ32" s="172" t="str">
        <f>IF(J32="","",B32)</f>
        <v>F</v>
      </c>
      <c r="BR32" s="160">
        <f>IF(J32="","",DK32)</f>
        <v>0</v>
      </c>
      <c r="BS32" s="160">
        <f>IF(J32="","",N32*-1)</f>
        <v>0</v>
      </c>
      <c r="BT32" s="160">
        <f>IF(J32="","",IF(L32&lt;0,L32,0))</f>
        <v>0</v>
      </c>
      <c r="BU32" s="173">
        <f>IF(J32="","",IF(L32&gt;=0,L32,0))</f>
        <v>0</v>
      </c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83"/>
      <c r="CI32" s="4">
        <v>1</v>
      </c>
      <c r="CK32" s="28">
        <f>CK31+1</f>
        <v>14</v>
      </c>
      <c r="CQ32" s="43">
        <f>IF(I32&lt;0,1,0)</f>
        <v>0</v>
      </c>
      <c r="CR32" s="43">
        <f>IF(AND(CQ31=1,CQ32=0),1,0)</f>
        <v>0</v>
      </c>
      <c r="CS32" s="43">
        <f>IF(AND(CR31=1,CR32=0),1,0)</f>
        <v>0</v>
      </c>
      <c r="CT32" s="43">
        <f>IF(AND(CS31=1,CS32=0),1,0)</f>
        <v>0</v>
      </c>
      <c r="CU32" s="43">
        <f>IF(AND(CT31=1,CT32=0),1,0)</f>
        <v>0</v>
      </c>
      <c r="CV32" s="43">
        <f>IF(AND(CU31=1,CU32=0),1,0)</f>
        <v>1</v>
      </c>
      <c r="CW32" s="43">
        <f>IF(AND(CV31=1,CV32=0),1,0)</f>
        <v>0</v>
      </c>
      <c r="CX32" s="43">
        <f>IF(AND(CW31=1,CW32=0),1,0)</f>
        <v>0</v>
      </c>
      <c r="CY32" s="43">
        <f>IF(AND(CX31=1,CX32=0),1,0)</f>
        <v>0</v>
      </c>
      <c r="CZ32" s="43">
        <f>IF(AND(CY31=1,CY32=0),1,0)</f>
        <v>0</v>
      </c>
      <c r="DA32" s="43">
        <f>IF(AND(CZ31=1,CZ32=0),1,0)</f>
        <v>1</v>
      </c>
      <c r="DB32" s="43">
        <f>IF(AND(DA31=1,DA32=0),1,0)</f>
        <v>0</v>
      </c>
      <c r="DC32" s="43">
        <f>IF(AND($DN$45=1,OR(DM32=$DM$44,DC31=1)),1,0)</f>
        <v>0</v>
      </c>
      <c r="DD32" s="43">
        <f>IF(AND(DC32=1,DC31=0),I32,0)</f>
        <v>0</v>
      </c>
      <c r="DE32" s="43">
        <f>IF(OR(CQ32=1,CR32=1,CS32=1,CT32=1,CU32=1,CV32=1,CW32=1,CX32=1,CY32=1,CZ32=1,DA32=1,DB32=1,DC32=1),1,0)</f>
        <v>1</v>
      </c>
      <c r="DF32" s="250" t="b">
        <f>IF(DO32=1,IF(DE32=0,IF($DN$45=1,$DD$44,cad1),IF(I32&lt;0,cad1*EXP(J32/cad1),IF(I32&gt;0,DF31+ABS(I32)))),"")</f>
        <v>0</v>
      </c>
      <c r="DG32" s="44"/>
      <c r="DH32" s="45">
        <f>DK32</f>
        <v>0</v>
      </c>
      <c r="DI32" s="44"/>
      <c r="DJ32" s="165">
        <f>IF(DO32=1,IF(DF32&gt;cad1,cad1,DF32),"")</f>
        <v>100</v>
      </c>
      <c r="DK32" s="171">
        <f>IF(DO32=1,IF(DJ32&lt;cad1,0,IF(DJ32=cad1,I32-L32)),"")</f>
        <v>0</v>
      </c>
      <c r="DL32" s="44"/>
      <c r="DM32" s="45">
        <f>IF(DO32=1,IF(I32&lt;0,0,I32+DM31),"")</f>
        <v>190.79840870110587</v>
      </c>
      <c r="DN32" s="45">
        <f>IF(DO32=1,IF(I32&lt;0,DN31,DN31+I32),"")</f>
        <v>455.5702216798446</v>
      </c>
      <c r="DO32" s="43">
        <f>IF(OR(B32="fim",DO31=0),0,1)</f>
        <v>1</v>
      </c>
      <c r="DP32" s="44"/>
      <c r="DQ32" s="189"/>
      <c r="DR32" s="190"/>
      <c r="DS32" s="190"/>
      <c r="DT32" s="191"/>
      <c r="DU32" s="191"/>
      <c r="DV32" s="190"/>
      <c r="DW32" s="190"/>
      <c r="DX32" s="190"/>
    </row>
    <row r="33" spans="1:128" ht="14.25">
      <c r="A33" s="69"/>
      <c r="B33" s="151" t="s">
        <v>103</v>
      </c>
      <c r="C33" s="152">
        <v>31</v>
      </c>
      <c r="D33" s="186">
        <f>IF(D32+C32&gt;365,((D32+C32)-365),D32+C32)</f>
        <v>60</v>
      </c>
      <c r="E33" s="153">
        <v>0</v>
      </c>
      <c r="F33" s="249">
        <v>0</v>
      </c>
      <c r="G33" s="154">
        <f>T33</f>
        <v>12.471396272901895</v>
      </c>
      <c r="H33" s="252">
        <f>IF(E33&lt;26.5,16*((10*(E33/$K$9))^$K$11)*(T33/12)*(C33/30),(-415.85+32.24*E33-0.43*E33^2)*(T33/12)*(C33/30))</f>
        <v>0</v>
      </c>
      <c r="I33" s="157">
        <f>IF(DO33=1,F33-H33,"")</f>
        <v>0</v>
      </c>
      <c r="J33" s="157">
        <f>IF(DO33=1,IF(DE33=0,0,IF(I33&lt;0,J32+I33,IF(I33&gt;=0,cad1*LN(DJ33/cad1)))),"")</f>
        <v>0</v>
      </c>
      <c r="K33" s="251">
        <f>IF(DH33&gt;=0,DJ33,IF(DJ33+DH33&gt;C24,C24,DJ33+DH33))</f>
        <v>100</v>
      </c>
      <c r="L33" s="165">
        <f>IF(DO33=1,DJ33-DJ32,"")</f>
        <v>0</v>
      </c>
      <c r="M33" s="157">
        <f>IF(DO33=1,IF(I33&gt;=0,H33,F33+ABS(L33)),"")</f>
        <v>0</v>
      </c>
      <c r="N33" s="157">
        <f>IF(DO33=1,H33-M33,"")</f>
        <v>0</v>
      </c>
      <c r="O33" s="251">
        <f>IF(DK33&lt;0,0,DK33)</f>
        <v>0</v>
      </c>
      <c r="P33" s="197">
        <f>DJ33*100/$C$11</f>
        <v>100</v>
      </c>
      <c r="Q33" s="179"/>
      <c r="R33" s="201">
        <f>23.45*SIN(RADIANS((360/365)*(D33-81)))</f>
        <v>-8.293705065035914</v>
      </c>
      <c r="S33" s="201">
        <f t="shared" si="43"/>
        <v>93.53547204676421</v>
      </c>
      <c r="T33" s="201">
        <f t="shared" si="6"/>
        <v>12.471396272901895</v>
      </c>
      <c r="U33" s="202"/>
      <c r="V33" s="202"/>
      <c r="W33" s="202"/>
      <c r="X33" s="203"/>
      <c r="Y33" s="159"/>
      <c r="Z33" s="160"/>
      <c r="AA33" s="161" t="str">
        <f>IF(J33="","",B33)</f>
        <v>M</v>
      </c>
      <c r="AB33" s="160">
        <f>IF(J33="","",IF(DK33&lt;&gt;N33,N33*-1,0))</f>
        <v>0</v>
      </c>
      <c r="AC33" s="162">
        <f>IF(J33="","",IF(O33&lt;&gt;N33,O33,0))</f>
        <v>0</v>
      </c>
      <c r="AD33" s="160"/>
      <c r="AE33" s="163"/>
      <c r="AF33" s="159"/>
      <c r="AG33" s="159"/>
      <c r="AH33" s="159"/>
      <c r="AI33" s="163"/>
      <c r="AJ33" s="163"/>
      <c r="AK33" s="163"/>
      <c r="AL33" s="163"/>
      <c r="AM33" s="163"/>
      <c r="AN33" s="163"/>
      <c r="AO33" s="163"/>
      <c r="AP33" s="164" t="str">
        <f>IF(J33="","",B33)</f>
        <v>M</v>
      </c>
      <c r="AQ33" s="165">
        <f>IF(J33="","",F33)</f>
        <v>0</v>
      </c>
      <c r="AR33" s="165">
        <f>IF(J33="","",H33)</f>
        <v>0</v>
      </c>
      <c r="AS33" s="166">
        <f>IF(J33="","",M33)</f>
        <v>0</v>
      </c>
      <c r="AT33" s="167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61" t="str">
        <f>IF(J33="","",B33)</f>
        <v>M</v>
      </c>
      <c r="BF33" s="160">
        <f t="shared" si="33"/>
        <v>100</v>
      </c>
      <c r="BG33" s="162">
        <f>IF(J33="","",DJ33)</f>
        <v>100</v>
      </c>
      <c r="BH33" s="159"/>
      <c r="BI33" s="159"/>
      <c r="BJ33" s="159"/>
      <c r="BK33" s="159"/>
      <c r="BL33" s="159"/>
      <c r="BM33" s="159"/>
      <c r="BN33" s="159"/>
      <c r="BO33" s="159"/>
      <c r="BP33" s="159"/>
      <c r="BQ33" s="172" t="str">
        <f>IF(J33="","",B33)</f>
        <v>M</v>
      </c>
      <c r="BR33" s="160">
        <f>IF(J33="","",DK33)</f>
        <v>0</v>
      </c>
      <c r="BS33" s="160">
        <f>IF(J33="","",N33*-1)</f>
        <v>0</v>
      </c>
      <c r="BT33" s="160">
        <f>IF(J33="","",IF(L33&lt;0,L33,0))</f>
        <v>0</v>
      </c>
      <c r="BU33" s="173">
        <f>IF(J33="","",IF(L33&gt;=0,L33,0))</f>
        <v>0</v>
      </c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83"/>
      <c r="CI33" s="4">
        <v>1</v>
      </c>
      <c r="CK33" s="28">
        <f>CK32+1</f>
        <v>15</v>
      </c>
      <c r="CQ33" s="43">
        <f>IF(I33&lt;0,1,0)</f>
        <v>0</v>
      </c>
      <c r="CR33" s="43">
        <f>IF(AND(CQ32=1,CQ33=0),1,0)</f>
        <v>0</v>
      </c>
      <c r="CS33" s="43">
        <f>IF(AND(CR32=1,CR33=0),1,0)</f>
        <v>0</v>
      </c>
      <c r="CT33" s="43">
        <f>IF(AND(CS32=1,CS33=0),1,0)</f>
        <v>0</v>
      </c>
      <c r="CU33" s="43">
        <f>IF(AND(CT32=1,CT33=0),1,0)</f>
        <v>0</v>
      </c>
      <c r="CV33" s="43">
        <f>IF(AND(CU32=1,CU33=0),1,0)</f>
        <v>0</v>
      </c>
      <c r="CW33" s="43">
        <f>IF(AND(CV32=1,CV33=0),1,0)</f>
        <v>1</v>
      </c>
      <c r="CX33" s="43">
        <f>IF(AND(CW32=1,CW33=0),1,0)</f>
        <v>0</v>
      </c>
      <c r="CY33" s="43">
        <f>IF(AND(CX32=1,CX33=0),1,0)</f>
        <v>0</v>
      </c>
      <c r="CZ33" s="43">
        <f>IF(AND(CY32=1,CY33=0),1,0)</f>
        <v>0</v>
      </c>
      <c r="DA33" s="43">
        <f>IF(AND(CZ32=1,CZ33=0),1,0)</f>
        <v>0</v>
      </c>
      <c r="DB33" s="43">
        <f>IF(AND(DA32=1,DA33=0),1,0)</f>
        <v>1</v>
      </c>
      <c r="DC33" s="43">
        <f>IF(AND($DN$45=1,OR(DM33=$DM$44,DC32=1)),1,0)</f>
        <v>0</v>
      </c>
      <c r="DD33" s="43">
        <f>IF(AND(DC33=1,DC32=0),I33,0)</f>
        <v>0</v>
      </c>
      <c r="DE33" s="43">
        <f>IF(OR(CQ33=1,CR33=1,CS33=1,CT33=1,CU33=1,CV33=1,CW33=1,CX33=1,CY33=1,CZ33=1,DA33=1,DB33=1,DC33=1),1,0)</f>
        <v>1</v>
      </c>
      <c r="DF33" s="250" t="b">
        <f>IF(DO33=1,IF(DE33=0,IF($DN$45=1,$DD$44,cad1),IF(I33&lt;0,cad1*EXP(J33/cad1),IF(I33&gt;0,DF32+ABS(I33)))),"")</f>
        <v>0</v>
      </c>
      <c r="DG33" s="44"/>
      <c r="DH33" s="45">
        <f>DK33</f>
        <v>0</v>
      </c>
      <c r="DI33" s="44"/>
      <c r="DJ33" s="165">
        <f>IF(DO33=1,IF(DF33&gt;cad1,cad1,DF33),"")</f>
        <v>100</v>
      </c>
      <c r="DK33" s="171">
        <f>IF(DO33=1,IF(DJ33&lt;cad1,0,IF(DJ33=cad1,I33-L33)),"")</f>
        <v>0</v>
      </c>
      <c r="DL33" s="44"/>
      <c r="DM33" s="45">
        <f>IF(DO33=1,IF(I33&lt;0,0,I33+DM32),"")</f>
        <v>190.79840870110587</v>
      </c>
      <c r="DN33" s="45">
        <f>IF(DO33=1,IF(I33&lt;0,DN32,DN32+I33),"")</f>
        <v>455.5702216798446</v>
      </c>
      <c r="DO33" s="43">
        <f>IF(OR(B33="fim",DO32=0),0,1)</f>
        <v>1</v>
      </c>
      <c r="DP33" s="44"/>
      <c r="DQ33" s="189"/>
      <c r="DR33" s="190"/>
      <c r="DS33" s="190"/>
      <c r="DT33" s="191"/>
      <c r="DU33" s="191"/>
      <c r="DV33" s="190"/>
      <c r="DW33" s="190"/>
      <c r="DX33" s="190"/>
    </row>
    <row r="34" spans="1:128" ht="14.25">
      <c r="A34" s="69"/>
      <c r="B34" s="151" t="s">
        <v>104</v>
      </c>
      <c r="C34" s="152">
        <v>30</v>
      </c>
      <c r="D34" s="186">
        <f>IF(D33+C33&gt;365,((D33+C33)-365),D33+C33)</f>
        <v>91</v>
      </c>
      <c r="E34" s="153">
        <v>0</v>
      </c>
      <c r="F34" s="249">
        <v>0</v>
      </c>
      <c r="G34" s="154">
        <f>T34</f>
        <v>11.773027751812004</v>
      </c>
      <c r="H34" s="252">
        <f>IF(E34&lt;26.5,16*((10*(E34/$K$9))^$K$11)*(T34/12)*(C34/30),(-415.85+32.24*E34-0.43*E34^2)*(T34/12)*(C34/30))</f>
        <v>0</v>
      </c>
      <c r="I34" s="157">
        <f>IF(DO34=1,F34-H34,"")</f>
        <v>0</v>
      </c>
      <c r="J34" s="157">
        <f>IF(DO34=1,IF(DE34=0,0,IF(I34&lt;0,J33+I34,IF(I34&gt;=0,cad1*LN(DJ34/cad1)))),"")</f>
        <v>0</v>
      </c>
      <c r="K34" s="251">
        <f>IF(DH34&gt;=0,DJ34,IF(DJ34+DH34&gt;C25,C25,DJ34+DH34))</f>
        <v>100</v>
      </c>
      <c r="L34" s="165">
        <f>IF(DO34=1,DJ34-DJ33,"")</f>
        <v>0</v>
      </c>
      <c r="M34" s="157">
        <f>IF(DO34=1,IF(I34&gt;=0,H34,F34+ABS(L34)),"")</f>
        <v>0</v>
      </c>
      <c r="N34" s="157">
        <f>IF(DO34=1,H34-M34,"")</f>
        <v>0</v>
      </c>
      <c r="O34" s="251">
        <f>IF(DK34&lt;0,0,DK34)</f>
        <v>0</v>
      </c>
      <c r="P34" s="197">
        <f>DJ34*100/$C$11</f>
        <v>100</v>
      </c>
      <c r="Q34" s="179"/>
      <c r="R34" s="201">
        <f>23.45*SIN(RADIANS((360/365)*(D34-81)))</f>
        <v>4.016824231055649</v>
      </c>
      <c r="S34" s="201">
        <f t="shared" si="43"/>
        <v>88.29770813859002</v>
      </c>
      <c r="T34" s="201">
        <f t="shared" si="6"/>
        <v>11.773027751812004</v>
      </c>
      <c r="U34" s="202"/>
      <c r="V34" s="202"/>
      <c r="W34" s="202"/>
      <c r="X34" s="203"/>
      <c r="Y34" s="159"/>
      <c r="Z34" s="160"/>
      <c r="AA34" s="161" t="str">
        <f>IF(J34="","",B34)</f>
        <v>A</v>
      </c>
      <c r="AB34" s="160">
        <f>IF(J34="","",IF(DK34&lt;&gt;N34,N34*-1,0))</f>
        <v>0</v>
      </c>
      <c r="AC34" s="162">
        <f>IF(J34="","",IF(O34&lt;&gt;N34,O34,0))</f>
        <v>0</v>
      </c>
      <c r="AD34" s="160"/>
      <c r="AE34" s="163"/>
      <c r="AF34" s="159"/>
      <c r="AG34" s="159"/>
      <c r="AH34" s="159"/>
      <c r="AI34" s="163"/>
      <c r="AJ34" s="163"/>
      <c r="AK34" s="163"/>
      <c r="AL34" s="163"/>
      <c r="AM34" s="163"/>
      <c r="AN34" s="163"/>
      <c r="AO34" s="163"/>
      <c r="AP34" s="164" t="str">
        <f>IF(J34="","",B34)</f>
        <v>A</v>
      </c>
      <c r="AQ34" s="165">
        <f>IF(J34="","",F34)</f>
        <v>0</v>
      </c>
      <c r="AR34" s="165">
        <f>IF(J34="","",H34)</f>
        <v>0</v>
      </c>
      <c r="AS34" s="166">
        <f>IF(J34="","",M34)</f>
        <v>0</v>
      </c>
      <c r="AT34" s="167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61" t="str">
        <f>IF(J34="","",B34)</f>
        <v>A</v>
      </c>
      <c r="BF34" s="160">
        <f t="shared" si="33"/>
        <v>100</v>
      </c>
      <c r="BG34" s="162">
        <f>IF(J34="","",DJ34)</f>
        <v>100</v>
      </c>
      <c r="BH34" s="159"/>
      <c r="BI34" s="159"/>
      <c r="BJ34" s="159"/>
      <c r="BK34" s="159"/>
      <c r="BL34" s="159"/>
      <c r="BM34" s="159"/>
      <c r="BN34" s="159"/>
      <c r="BO34" s="159"/>
      <c r="BP34" s="159"/>
      <c r="BQ34" s="172" t="str">
        <f>IF(J34="","",B34)</f>
        <v>A</v>
      </c>
      <c r="BR34" s="160">
        <f>IF(J34="","",DK34)</f>
        <v>0</v>
      </c>
      <c r="BS34" s="160">
        <f>IF(J34="","",N34*-1)</f>
        <v>0</v>
      </c>
      <c r="BT34" s="160">
        <f>IF(J34="","",IF(L34&lt;0,L34,0))</f>
        <v>0</v>
      </c>
      <c r="BU34" s="173">
        <f>IF(J34="","",IF(L34&gt;=0,L34,0))</f>
        <v>0</v>
      </c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83"/>
      <c r="CI34" s="4">
        <v>1</v>
      </c>
      <c r="CK34" s="28">
        <f>CK33+1</f>
        <v>16</v>
      </c>
      <c r="CQ34" s="43">
        <f>IF(I34&lt;0,1,0)</f>
        <v>0</v>
      </c>
      <c r="CR34" s="43">
        <f>IF(AND(CQ33=1,CQ34=0),1,0)</f>
        <v>0</v>
      </c>
      <c r="CS34" s="43">
        <f>IF(AND(CR33=1,CR34=0),1,0)</f>
        <v>0</v>
      </c>
      <c r="CT34" s="43">
        <f>IF(AND(CS33=1,CS34=0),1,0)</f>
        <v>0</v>
      </c>
      <c r="CU34" s="43">
        <f>IF(AND(CT33=1,CT34=0),1,0)</f>
        <v>0</v>
      </c>
      <c r="CV34" s="43">
        <f>IF(AND(CU33=1,CU34=0),1,0)</f>
        <v>0</v>
      </c>
      <c r="CW34" s="43">
        <f>IF(AND(CV33=1,CV34=0),1,0)</f>
        <v>0</v>
      </c>
      <c r="CX34" s="43">
        <f>IF(AND(CW33=1,CW34=0),1,0)</f>
        <v>1</v>
      </c>
      <c r="CY34" s="43">
        <f>IF(AND(CX33=1,CX34=0),1,0)</f>
        <v>0</v>
      </c>
      <c r="CZ34" s="43">
        <f>IF(AND(CY33=1,CY34=0),1,0)</f>
        <v>0</v>
      </c>
      <c r="DA34" s="43">
        <f>IF(AND(CZ33=1,CZ34=0),1,0)</f>
        <v>0</v>
      </c>
      <c r="DB34" s="43">
        <f>IF(AND(DA33=1,DA34=0),1,0)</f>
        <v>0</v>
      </c>
      <c r="DC34" s="43">
        <f>IF(AND($DN$45=1,OR(DM34=$DM$44,DC33=1)),1,0)</f>
        <v>0</v>
      </c>
      <c r="DD34" s="43">
        <f>IF(AND(DC34=1,DC33=0),I34,0)</f>
        <v>0</v>
      </c>
      <c r="DE34" s="43">
        <f>IF(OR(CQ34=1,CR34=1,CS34=1,CT34=1,CU34=1,CV34=1,CW34=1,CX34=1,CY34=1,CZ34=1,DA34=1,DB34=1,DC34=1),1,0)</f>
        <v>1</v>
      </c>
      <c r="DF34" s="250" t="b">
        <f>IF(DO34=1,IF(DE34=0,IF($DN$45=1,$DD$44,cad1),IF(I34&lt;0,cad1*EXP(J34/cad1),IF(I34&gt;0,DF33+ABS(I34)))),"")</f>
        <v>0</v>
      </c>
      <c r="DG34" s="44"/>
      <c r="DH34" s="45">
        <f>DK34</f>
        <v>0</v>
      </c>
      <c r="DI34" s="44"/>
      <c r="DJ34" s="165">
        <f>IF(DO34=1,IF(DF34&gt;cad1,cad1,DF34),"")</f>
        <v>100</v>
      </c>
      <c r="DK34" s="171">
        <f>IF(DO34=1,IF(DJ34&lt;cad1,0,IF(DJ34=cad1,I34-L34)),"")</f>
        <v>0</v>
      </c>
      <c r="DL34" s="44"/>
      <c r="DM34" s="45">
        <f>IF(DO34=1,IF(I34&lt;0,0,I34+DM33),"")</f>
        <v>190.79840870110587</v>
      </c>
      <c r="DN34" s="45">
        <f>IF(DO34=1,IF(I34&lt;0,DN33,DN33+I34),"")</f>
        <v>455.5702216798446</v>
      </c>
      <c r="DO34" s="43">
        <f>IF(OR(B34="fim",DO33=0),0,1)</f>
        <v>1</v>
      </c>
      <c r="DP34" s="44"/>
      <c r="DQ34" s="189"/>
      <c r="DR34" s="190"/>
      <c r="DS34" s="190"/>
      <c r="DT34" s="191"/>
      <c r="DU34" s="191"/>
      <c r="DV34" s="190"/>
      <c r="DW34" s="190"/>
      <c r="DX34" s="190"/>
    </row>
    <row r="35" spans="1:128" ht="14.25">
      <c r="A35" s="69"/>
      <c r="B35" s="151" t="s">
        <v>103</v>
      </c>
      <c r="C35" s="152">
        <v>31</v>
      </c>
      <c r="D35" s="186">
        <f>IF(D34+C34&gt;365,((D34+C34)-365),D34+C34)</f>
        <v>121</v>
      </c>
      <c r="E35" s="153">
        <v>0</v>
      </c>
      <c r="F35" s="249">
        <v>0</v>
      </c>
      <c r="G35" s="154">
        <f>T35</f>
        <v>11.138220446137234</v>
      </c>
      <c r="H35" s="252">
        <f>IF(E35&lt;26.5,16*((10*(E35/$K$9))^$K$11)*(T35/12)*(C35/30),(-415.85+32.24*E35-0.43*E35^2)*(T35/12)*(C35/30))</f>
        <v>0</v>
      </c>
      <c r="I35" s="157">
        <f>IF(DO35=1,F35-H35,"")</f>
        <v>0</v>
      </c>
      <c r="J35" s="157">
        <f>IF(DO35=1,IF(DE35=0,0,IF(I35&lt;0,J34+I35,IF(I35&gt;=0,cad1*LN(DJ35/cad1)))),"")</f>
        <v>0</v>
      </c>
      <c r="K35" s="251">
        <f>IF(DH35&gt;=0,DJ35,IF(DJ35+DH35&gt;C26,C26,DJ35+DH35))</f>
        <v>100</v>
      </c>
      <c r="L35" s="165">
        <f>IF(DO35=1,DJ35-DJ34,"")</f>
        <v>0</v>
      </c>
      <c r="M35" s="157">
        <f>IF(DO35=1,IF(I35&gt;=0,H35,F35+ABS(L35)),"")</f>
        <v>0</v>
      </c>
      <c r="N35" s="157">
        <f>IF(DO35=1,H35-M35,"")</f>
        <v>0</v>
      </c>
      <c r="O35" s="251">
        <f>IF(DK35&lt;0,0,DK35)</f>
        <v>0</v>
      </c>
      <c r="P35" s="197">
        <f>DJ35*100/$C$11</f>
        <v>100</v>
      </c>
      <c r="Q35" s="179"/>
      <c r="R35" s="201">
        <f>23.45*SIN(RADIANS((360/365)*(D35-81)))</f>
        <v>14.90088745587466</v>
      </c>
      <c r="S35" s="201">
        <f t="shared" si="43"/>
        <v>83.53665334602925</v>
      </c>
      <c r="T35" s="201">
        <f t="shared" si="6"/>
        <v>11.138220446137234</v>
      </c>
      <c r="U35" s="202"/>
      <c r="V35" s="202"/>
      <c r="W35" s="202"/>
      <c r="X35" s="203"/>
      <c r="Y35" s="159"/>
      <c r="Z35" s="160"/>
      <c r="AA35" s="161" t="str">
        <f>IF(J35="","",B35)</f>
        <v>M</v>
      </c>
      <c r="AB35" s="160">
        <f>IF(J35="","",IF(DK35&lt;&gt;N35,N35*-1,0))</f>
        <v>0</v>
      </c>
      <c r="AC35" s="162">
        <f>IF(J35="","",IF(O35&lt;&gt;N35,O35,0))</f>
        <v>0</v>
      </c>
      <c r="AD35" s="160"/>
      <c r="AE35" s="163"/>
      <c r="AF35" s="159"/>
      <c r="AG35" s="159"/>
      <c r="AH35" s="159"/>
      <c r="AI35" s="163"/>
      <c r="AJ35" s="163"/>
      <c r="AK35" s="163"/>
      <c r="AL35" s="163"/>
      <c r="AM35" s="163"/>
      <c r="AN35" s="163"/>
      <c r="AO35" s="163"/>
      <c r="AP35" s="164" t="str">
        <f>IF(J35="","",B35)</f>
        <v>M</v>
      </c>
      <c r="AQ35" s="165">
        <f>IF(J35="","",F35)</f>
        <v>0</v>
      </c>
      <c r="AR35" s="165">
        <f>IF(J35="","",H35)</f>
        <v>0</v>
      </c>
      <c r="AS35" s="166">
        <f>IF(J35="","",M35)</f>
        <v>0</v>
      </c>
      <c r="AT35" s="167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61" t="str">
        <f>IF(J35="","",B35)</f>
        <v>M</v>
      </c>
      <c r="BF35" s="160">
        <f t="shared" si="33"/>
        <v>100</v>
      </c>
      <c r="BG35" s="162">
        <f>IF(J35="","",DJ35)</f>
        <v>100</v>
      </c>
      <c r="BH35" s="159"/>
      <c r="BI35" s="159"/>
      <c r="BJ35" s="159"/>
      <c r="BK35" s="159"/>
      <c r="BL35" s="159"/>
      <c r="BM35" s="159"/>
      <c r="BN35" s="159"/>
      <c r="BO35" s="159"/>
      <c r="BP35" s="159"/>
      <c r="BQ35" s="172" t="str">
        <f>IF(J35="","",B35)</f>
        <v>M</v>
      </c>
      <c r="BR35" s="160">
        <f>IF(J35="","",DK35)</f>
        <v>0</v>
      </c>
      <c r="BS35" s="160">
        <f>IF(J35="","",N35*-1)</f>
        <v>0</v>
      </c>
      <c r="BT35" s="160">
        <f>IF(J35="","",IF(L35&lt;0,L35,0))</f>
        <v>0</v>
      </c>
      <c r="BU35" s="173">
        <f>IF(J35="","",IF(L35&gt;=0,L35,0))</f>
        <v>0</v>
      </c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83"/>
      <c r="CI35" s="4">
        <v>1</v>
      </c>
      <c r="CK35" s="28">
        <f>CK34+1</f>
        <v>17</v>
      </c>
      <c r="CQ35" s="43">
        <f>IF(I35&lt;0,1,0)</f>
        <v>0</v>
      </c>
      <c r="CR35" s="43">
        <f>IF(AND(CQ34=1,CQ35=0),1,0)</f>
        <v>0</v>
      </c>
      <c r="CS35" s="43">
        <f>IF(AND(CR34=1,CR35=0),1,0)</f>
        <v>0</v>
      </c>
      <c r="CT35" s="43">
        <f>IF(AND(CS34=1,CS35=0),1,0)</f>
        <v>0</v>
      </c>
      <c r="CU35" s="43">
        <f>IF(AND(CT34=1,CT35=0),1,0)</f>
        <v>0</v>
      </c>
      <c r="CV35" s="43">
        <f>IF(AND(CU34=1,CU35=0),1,0)</f>
        <v>0</v>
      </c>
      <c r="CW35" s="43">
        <f>IF(AND(CV34=1,CV35=0),1,0)</f>
        <v>0</v>
      </c>
      <c r="CX35" s="43">
        <f>IF(AND(CW34=1,CW35=0),1,0)</f>
        <v>0</v>
      </c>
      <c r="CY35" s="43">
        <f>IF(AND(CX34=1,CX35=0),1,0)</f>
        <v>1</v>
      </c>
      <c r="CZ35" s="43">
        <f>IF(AND(CY34=1,CY35=0),1,0)</f>
        <v>0</v>
      </c>
      <c r="DA35" s="43">
        <f>IF(AND(CZ34=1,CZ35=0),1,0)</f>
        <v>0</v>
      </c>
      <c r="DB35" s="43">
        <f>IF(AND(DA34=1,DA35=0),1,0)</f>
        <v>0</v>
      </c>
      <c r="DC35" s="43">
        <f>IF(AND($DN$45=1,OR(DM35=$DM$44,DC34=1)),1,0)</f>
        <v>0</v>
      </c>
      <c r="DD35" s="43">
        <f>IF(AND(DC35=1,DC34=0),I35,0)</f>
        <v>0</v>
      </c>
      <c r="DE35" s="43">
        <f>IF(OR(CQ35=1,CR35=1,CS35=1,CT35=1,CU35=1,CV35=1,CW35=1,CX35=1,CY35=1,CZ35=1,DA35=1,DB35=1,DC35=1),1,0)</f>
        <v>1</v>
      </c>
      <c r="DF35" s="250" t="b">
        <f>IF(DO35=1,IF(DE35=0,IF($DN$45=1,$DD$44,cad1),IF(I35&lt;0,cad1*EXP(J35/cad1),IF(I35&gt;0,DF34+ABS(I35)))),"")</f>
        <v>0</v>
      </c>
      <c r="DG35" s="44"/>
      <c r="DH35" s="45">
        <f>DK35</f>
        <v>0</v>
      </c>
      <c r="DI35" s="44"/>
      <c r="DJ35" s="165">
        <f>IF(DO35=1,IF(DF35&gt;cad1,cad1,DF35),"")</f>
        <v>100</v>
      </c>
      <c r="DK35" s="171">
        <f>IF(DO35=1,IF(DJ35&lt;cad1,0,IF(DJ35=cad1,I35-L35)),"")</f>
        <v>0</v>
      </c>
      <c r="DL35" s="44"/>
      <c r="DM35" s="45">
        <f>IF(DO35=1,IF(I35&lt;0,0,I35+DM34),"")</f>
        <v>190.79840870110587</v>
      </c>
      <c r="DN35" s="45">
        <f>IF(DO35=1,IF(I35&lt;0,DN34,DN34+I35),"")</f>
        <v>455.5702216798446</v>
      </c>
      <c r="DO35" s="43">
        <f>IF(OR(B35="fim",DO34=0),0,1)</f>
        <v>1</v>
      </c>
      <c r="DP35" s="44"/>
      <c r="DQ35" s="189"/>
      <c r="DR35" s="190"/>
      <c r="DS35" s="190"/>
      <c r="DT35" s="191"/>
      <c r="DU35" s="191"/>
      <c r="DV35" s="190"/>
      <c r="DW35" s="190"/>
      <c r="DX35" s="190"/>
    </row>
    <row r="36" spans="1:128" ht="14.25">
      <c r="A36" s="69"/>
      <c r="B36" s="151" t="s">
        <v>101</v>
      </c>
      <c r="C36" s="152">
        <v>30</v>
      </c>
      <c r="D36" s="186">
        <f>IF(D35+C35&gt;365,((D35+C35)-365),D35+C35)</f>
        <v>152</v>
      </c>
      <c r="E36" s="153">
        <v>0</v>
      </c>
      <c r="F36" s="249">
        <v>0</v>
      </c>
      <c r="G36" s="154">
        <f>T36</f>
        <v>10.685210812285815</v>
      </c>
      <c r="H36" s="252">
        <f>IF(E36&lt;26.5,16*((10*(E36/$K$9))^$K$11)*(T36/12)*(C36/30),(-415.85+32.24*E36-0.43*E36^2)*(T36/12)*(C36/30))</f>
        <v>0</v>
      </c>
      <c r="I36" s="157">
        <f>IF(DO36=1,F36-H36,"")</f>
        <v>0</v>
      </c>
      <c r="J36" s="157">
        <f>IF(DO36=1,IF(DE36=0,0,IF(I36&lt;0,J35+I36,IF(I36&gt;=0,cad1*LN(DJ36/cad1)))),"")</f>
        <v>0</v>
      </c>
      <c r="K36" s="251">
        <f>IF(DH36&gt;=0,DJ36,IF(DJ36+DH36&gt;C27,C27,DJ36+DH36))</f>
        <v>100</v>
      </c>
      <c r="L36" s="165">
        <f>IF(DO36=1,DJ36-DJ35,"")</f>
        <v>0</v>
      </c>
      <c r="M36" s="157">
        <f>IF(DO36=1,IF(I36&gt;=0,H36,F36+ABS(L36)),"")</f>
        <v>0</v>
      </c>
      <c r="N36" s="157">
        <f>IF(DO36=1,H36-M36,"")</f>
        <v>0</v>
      </c>
      <c r="O36" s="251">
        <f>IF(DK36&lt;0,0,DK36)</f>
        <v>0</v>
      </c>
      <c r="P36" s="197">
        <f>DJ36*100/$C$11</f>
        <v>100</v>
      </c>
      <c r="Q36" s="179"/>
      <c r="R36" s="201">
        <f>23.45*SIN(RADIANS((360/365)*(D36-81)))</f>
        <v>22.039624558737447</v>
      </c>
      <c r="S36" s="201">
        <f t="shared" si="43"/>
        <v>80.13908109214361</v>
      </c>
      <c r="T36" s="201">
        <f t="shared" si="6"/>
        <v>10.685210812285815</v>
      </c>
      <c r="U36" s="202"/>
      <c r="V36" s="202"/>
      <c r="W36" s="202"/>
      <c r="X36" s="203"/>
      <c r="Y36" s="159"/>
      <c r="Z36" s="160"/>
      <c r="AA36" s="161" t="str">
        <f>IF(J36="","",B36)</f>
        <v>J</v>
      </c>
      <c r="AB36" s="160">
        <f>IF(J36="","",IF(DK36&lt;&gt;N36,N36*-1,0))</f>
        <v>0</v>
      </c>
      <c r="AC36" s="162">
        <f>IF(J36="","",IF(O36&lt;&gt;N36,O36,0))</f>
        <v>0</v>
      </c>
      <c r="AD36" s="160"/>
      <c r="AE36" s="163"/>
      <c r="AF36" s="159"/>
      <c r="AG36" s="159"/>
      <c r="AH36" s="159"/>
      <c r="AI36" s="163"/>
      <c r="AJ36" s="163"/>
      <c r="AK36" s="163"/>
      <c r="AL36" s="163"/>
      <c r="AM36" s="163"/>
      <c r="AN36" s="163"/>
      <c r="AO36" s="163"/>
      <c r="AP36" s="164" t="str">
        <f>IF(J36="","",B36)</f>
        <v>J</v>
      </c>
      <c r="AQ36" s="165">
        <f>IF(J36="","",F36)</f>
        <v>0</v>
      </c>
      <c r="AR36" s="165">
        <f>IF(J36="","",H36)</f>
        <v>0</v>
      </c>
      <c r="AS36" s="166">
        <f>IF(J36="","",M36)</f>
        <v>0</v>
      </c>
      <c r="AT36" s="167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61" t="str">
        <f>IF(J36="","",B36)</f>
        <v>J</v>
      </c>
      <c r="BF36" s="160">
        <f t="shared" si="33"/>
        <v>100</v>
      </c>
      <c r="BG36" s="162">
        <f>IF(J36="","",DJ36)</f>
        <v>100</v>
      </c>
      <c r="BH36" s="159"/>
      <c r="BI36" s="159"/>
      <c r="BJ36" s="159"/>
      <c r="BK36" s="159"/>
      <c r="BL36" s="159"/>
      <c r="BM36" s="159"/>
      <c r="BN36" s="159"/>
      <c r="BO36" s="159"/>
      <c r="BP36" s="159"/>
      <c r="BQ36" s="172" t="str">
        <f>IF(J36="","",B36)</f>
        <v>J</v>
      </c>
      <c r="BR36" s="160">
        <f>IF(J36="","",DK36)</f>
        <v>0</v>
      </c>
      <c r="BS36" s="160">
        <f>IF(J36="","",N36*-1)</f>
        <v>0</v>
      </c>
      <c r="BT36" s="160">
        <f>IF(J36="","",IF(L36&lt;0,L36,0))</f>
        <v>0</v>
      </c>
      <c r="BU36" s="173">
        <f>IF(J36="","",IF(L36&gt;=0,L36,0))</f>
        <v>0</v>
      </c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83"/>
      <c r="CI36" s="4">
        <v>1</v>
      </c>
      <c r="CK36" s="28">
        <f>CK35+1</f>
        <v>18</v>
      </c>
      <c r="CQ36" s="43">
        <f>IF(I36&lt;0,1,0)</f>
        <v>0</v>
      </c>
      <c r="CR36" s="43">
        <f>IF(AND(CQ35=1,CQ36=0),1,0)</f>
        <v>0</v>
      </c>
      <c r="CS36" s="43">
        <f>IF(AND(CR35=1,CR36=0),1,0)</f>
        <v>0</v>
      </c>
      <c r="CT36" s="43">
        <f>IF(AND(CS35=1,CS36=0),1,0)</f>
        <v>0</v>
      </c>
      <c r="CU36" s="43">
        <f>IF(AND(CT35=1,CT36=0),1,0)</f>
        <v>0</v>
      </c>
      <c r="CV36" s="43">
        <f>IF(AND(CU35=1,CU36=0),1,0)</f>
        <v>0</v>
      </c>
      <c r="CW36" s="43">
        <f>IF(AND(CV35=1,CV36=0),1,0)</f>
        <v>0</v>
      </c>
      <c r="CX36" s="43">
        <f>IF(AND(CW35=1,CW36=0),1,0)</f>
        <v>0</v>
      </c>
      <c r="CY36" s="43">
        <f>IF(AND(CX35=1,CX36=0),1,0)</f>
        <v>0</v>
      </c>
      <c r="CZ36" s="43">
        <f>IF(AND(CY35=1,CY36=0),1,0)</f>
        <v>1</v>
      </c>
      <c r="DA36" s="43">
        <f>IF(AND(CZ35=1,CZ36=0),1,0)</f>
        <v>0</v>
      </c>
      <c r="DB36" s="43">
        <f>IF(AND(DA35=1,DA36=0),1,0)</f>
        <v>0</v>
      </c>
      <c r="DC36" s="43">
        <f>IF(AND($DN$45=1,OR(DM36=$DM$44,DC35=1)),1,0)</f>
        <v>0</v>
      </c>
      <c r="DD36" s="43">
        <f>IF(AND(DC36=1,DC35=0),I36,0)</f>
        <v>0</v>
      </c>
      <c r="DE36" s="43">
        <f>IF(OR(CQ36=1,CR36=1,CS36=1,CT36=1,CU36=1,CV36=1,CW36=1,CX36=1,CY36=1,CZ36=1,DA36=1,DB36=1,DC36=1),1,0)</f>
        <v>1</v>
      </c>
      <c r="DF36" s="250" t="b">
        <f>IF(DO36=1,IF(DE36=0,IF($DN$45=1,$DD$44,cad1),IF(I36&lt;0,cad1*EXP(J36/cad1),IF(I36&gt;0,DF35+ABS(I36)))),"")</f>
        <v>0</v>
      </c>
      <c r="DG36" s="44"/>
      <c r="DH36" s="45">
        <f>DK36</f>
        <v>0</v>
      </c>
      <c r="DI36" s="44"/>
      <c r="DJ36" s="165">
        <f>IF(DO36=1,IF(DF36&gt;cad1,cad1,DF36),"")</f>
        <v>100</v>
      </c>
      <c r="DK36" s="171">
        <f>IF(DO36=1,IF(DJ36&lt;cad1,0,IF(DJ36=cad1,I36-L36)),"")</f>
        <v>0</v>
      </c>
      <c r="DL36" s="44"/>
      <c r="DM36" s="45">
        <f>IF(DO36=1,IF(I36&lt;0,0,I36+DM35),"")</f>
        <v>190.79840870110587</v>
      </c>
      <c r="DN36" s="45">
        <f>IF(DO36=1,IF(I36&lt;0,DN35,DN35+I36),"")</f>
        <v>455.5702216798446</v>
      </c>
      <c r="DO36" s="43">
        <f>IF(OR(B36="fim",DO35=0),0,1)</f>
        <v>1</v>
      </c>
      <c r="DP36" s="44"/>
      <c r="DQ36" s="189"/>
      <c r="DR36" s="190"/>
      <c r="DS36" s="190"/>
      <c r="DT36" s="191"/>
      <c r="DU36" s="191"/>
      <c r="DV36" s="190"/>
      <c r="DW36" s="190"/>
      <c r="DX36" s="190"/>
    </row>
    <row r="37" spans="1:128" ht="14.25">
      <c r="A37" s="69"/>
      <c r="B37" s="151" t="s">
        <v>101</v>
      </c>
      <c r="C37" s="152">
        <v>31</v>
      </c>
      <c r="D37" s="186">
        <f>IF(D36+C36&gt;365,((D36+C36)-365),D36+C36)</f>
        <v>182</v>
      </c>
      <c r="E37" s="153">
        <v>0</v>
      </c>
      <c r="F37" s="249">
        <v>0</v>
      </c>
      <c r="G37" s="154">
        <f>T37</f>
        <v>10.612565912853468</v>
      </c>
      <c r="H37" s="252">
        <f>IF(E37&lt;26.5,16*((10*(E37/$K$9))^$K$11)*(T37/12)*(C37/30),(-415.85+32.24*E37-0.43*E37^2)*(T37/12)*(C37/30))</f>
        <v>0</v>
      </c>
      <c r="I37" s="157">
        <f>IF(DO37=1,F37-H37,"")</f>
        <v>0</v>
      </c>
      <c r="J37" s="157">
        <f>IF(DO37=1,IF(DE37=0,0,IF(I37&lt;0,J36+I37,IF(I37&gt;=0,cad1*LN(DJ37/cad1)))),"")</f>
        <v>0</v>
      </c>
      <c r="K37" s="251">
        <f>IF(DH37&gt;=0,DJ37,IF(DJ37+DH37&gt;C28,C28,DJ37+DH37))</f>
        <v>100</v>
      </c>
      <c r="L37" s="165">
        <f>IF(DO37=1,DJ37-DJ36,"")</f>
        <v>0</v>
      </c>
      <c r="M37" s="157">
        <f>IF(DO37=1,IF(I37&gt;=0,H37,F37+ABS(L37)),"")</f>
        <v>0</v>
      </c>
      <c r="N37" s="157">
        <f>IF(DO37=1,H37-M37,"")</f>
        <v>0</v>
      </c>
      <c r="O37" s="251">
        <f>IF(DK37&lt;0,0,DK37)</f>
        <v>0</v>
      </c>
      <c r="P37" s="197">
        <f>DJ37*100/$C$11</f>
        <v>100</v>
      </c>
      <c r="Q37" s="179"/>
      <c r="R37" s="201">
        <f>23.45*SIN(RADIANS((360/365)*(D37-81)))</f>
        <v>23.120484116651824</v>
      </c>
      <c r="S37" s="201">
        <f t="shared" si="43"/>
        <v>79.59424434640101</v>
      </c>
      <c r="T37" s="201">
        <f t="shared" si="6"/>
        <v>10.612565912853468</v>
      </c>
      <c r="U37" s="202"/>
      <c r="V37" s="202"/>
      <c r="W37" s="202"/>
      <c r="X37" s="203"/>
      <c r="Y37" s="159"/>
      <c r="Z37" s="160"/>
      <c r="AA37" s="161" t="str">
        <f>IF(J37="","",B37)</f>
        <v>J</v>
      </c>
      <c r="AB37" s="160">
        <f>IF(J37="","",IF(DK37&lt;&gt;N37,N37*-1,0))</f>
        <v>0</v>
      </c>
      <c r="AC37" s="162">
        <f>IF(J37="","",IF(O37&lt;&gt;N37,O37,0))</f>
        <v>0</v>
      </c>
      <c r="AD37" s="160"/>
      <c r="AE37" s="163"/>
      <c r="AF37" s="159"/>
      <c r="AG37" s="159"/>
      <c r="AH37" s="159"/>
      <c r="AI37" s="163"/>
      <c r="AJ37" s="163"/>
      <c r="AK37" s="163"/>
      <c r="AL37" s="163"/>
      <c r="AM37" s="163"/>
      <c r="AN37" s="163"/>
      <c r="AO37" s="163"/>
      <c r="AP37" s="164" t="str">
        <f>IF(J37="","",B37)</f>
        <v>J</v>
      </c>
      <c r="AQ37" s="165">
        <f>IF(J37="","",F37)</f>
        <v>0</v>
      </c>
      <c r="AR37" s="165">
        <f>IF(J37="","",H37)</f>
        <v>0</v>
      </c>
      <c r="AS37" s="166">
        <f>IF(J37="","",M37)</f>
        <v>0</v>
      </c>
      <c r="AT37" s="167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61" t="str">
        <f>IF(J37="","",B37)</f>
        <v>J</v>
      </c>
      <c r="BF37" s="160">
        <f t="shared" si="33"/>
        <v>100</v>
      </c>
      <c r="BG37" s="162">
        <f>IF(J37="","",DJ37)</f>
        <v>100</v>
      </c>
      <c r="BH37" s="159"/>
      <c r="BI37" s="159"/>
      <c r="BJ37" s="159"/>
      <c r="BK37" s="159"/>
      <c r="BL37" s="159"/>
      <c r="BM37" s="159"/>
      <c r="BN37" s="159"/>
      <c r="BO37" s="159"/>
      <c r="BP37" s="159"/>
      <c r="BQ37" s="172" t="str">
        <f>IF(J37="","",B37)</f>
        <v>J</v>
      </c>
      <c r="BR37" s="160">
        <f>IF(J37="","",DK37)</f>
        <v>0</v>
      </c>
      <c r="BS37" s="160">
        <f>IF(J37="","",N37*-1)</f>
        <v>0</v>
      </c>
      <c r="BT37" s="160">
        <f>IF(J37="","",IF(L37&lt;0,L37,0))</f>
        <v>0</v>
      </c>
      <c r="BU37" s="173">
        <f>IF(J37="","",IF(L37&gt;=0,L37,0))</f>
        <v>0</v>
      </c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83"/>
      <c r="CI37" s="4">
        <v>1</v>
      </c>
      <c r="CK37" s="28">
        <f>CK36+1</f>
        <v>19</v>
      </c>
      <c r="CQ37" s="43">
        <f>IF(I37&lt;0,1,0)</f>
        <v>0</v>
      </c>
      <c r="CR37" s="43">
        <f>IF(AND(CQ36=1,CQ37=0),1,0)</f>
        <v>0</v>
      </c>
      <c r="CS37" s="43">
        <f>IF(AND(CR36=1,CR37=0),1,0)</f>
        <v>0</v>
      </c>
      <c r="CT37" s="43">
        <f>IF(AND(CS36=1,CS37=0),1,0)</f>
        <v>0</v>
      </c>
      <c r="CU37" s="43">
        <f>IF(AND(CT36=1,CT37=0),1,0)</f>
        <v>0</v>
      </c>
      <c r="CV37" s="43">
        <f>IF(AND(CU36=1,CU37=0),1,0)</f>
        <v>0</v>
      </c>
      <c r="CW37" s="43">
        <f>IF(AND(CV36=1,CV37=0),1,0)</f>
        <v>0</v>
      </c>
      <c r="CX37" s="43">
        <f>IF(AND(CW36=1,CW37=0),1,0)</f>
        <v>0</v>
      </c>
      <c r="CY37" s="43">
        <f>IF(AND(CX36=1,CX37=0),1,0)</f>
        <v>0</v>
      </c>
      <c r="CZ37" s="43">
        <f>IF(AND(CY36=1,CY37=0),1,0)</f>
        <v>0</v>
      </c>
      <c r="DA37" s="43">
        <f>IF(AND(CZ36=1,CZ37=0),1,0)</f>
        <v>1</v>
      </c>
      <c r="DB37" s="43">
        <f>IF(AND(DA36=1,DA37=0),1,0)</f>
        <v>0</v>
      </c>
      <c r="DC37" s="43">
        <f>IF(AND($DN$45=1,OR(DM37=$DM$44,DC36=1)),1,0)</f>
        <v>0</v>
      </c>
      <c r="DD37" s="43">
        <f>IF(AND(DC37=1,DC36=0),I37,0)</f>
        <v>0</v>
      </c>
      <c r="DE37" s="43">
        <f>IF(OR(CQ37=1,CR37=1,CS37=1,CT37=1,CU37=1,CV37=1,CW37=1,CX37=1,CY37=1,CZ37=1,DA37=1,DB37=1,DC37=1),1,0)</f>
        <v>1</v>
      </c>
      <c r="DF37" s="250" t="b">
        <f>IF(DO37=1,IF(DE37=0,IF($DN$45=1,$DD$44,cad1),IF(I37&lt;0,cad1*EXP(J37/cad1),IF(I37&gt;0,DF36+ABS(I37)))),"")</f>
        <v>0</v>
      </c>
      <c r="DG37" s="44"/>
      <c r="DH37" s="45">
        <f>DK37</f>
        <v>0</v>
      </c>
      <c r="DI37" s="44"/>
      <c r="DJ37" s="165">
        <f>IF(DO37=1,IF(DF37&gt;cad1,cad1,DF37),"")</f>
        <v>100</v>
      </c>
      <c r="DK37" s="171">
        <f>IF(DO37=1,IF(DJ37&lt;cad1,0,IF(DJ37=cad1,I37-L37)),"")</f>
        <v>0</v>
      </c>
      <c r="DL37" s="44"/>
      <c r="DM37" s="45">
        <f>IF(DO37=1,IF(I37&lt;0,0,I37+DM36),"")</f>
        <v>190.79840870110587</v>
      </c>
      <c r="DN37" s="45">
        <f>IF(DO37=1,IF(I37&lt;0,DN36,DN36+I37),"")</f>
        <v>455.5702216798446</v>
      </c>
      <c r="DO37" s="43">
        <f>IF(OR(B37="fim",DO36=0),0,1)</f>
        <v>1</v>
      </c>
      <c r="DP37" s="44"/>
      <c r="DQ37" s="189"/>
      <c r="DR37" s="190"/>
      <c r="DS37" s="190"/>
      <c r="DT37" s="191"/>
      <c r="DU37" s="191"/>
      <c r="DV37" s="190"/>
      <c r="DW37" s="190"/>
      <c r="DX37" s="190"/>
    </row>
    <row r="38" spans="1:128" ht="14.25">
      <c r="A38" s="69"/>
      <c r="B38" s="151" t="s">
        <v>104</v>
      </c>
      <c r="C38" s="152">
        <v>31</v>
      </c>
      <c r="D38" s="186">
        <f>IF(D37+C37&gt;365,((D37+C37)-365),D37+C37)</f>
        <v>213</v>
      </c>
      <c r="E38" s="153">
        <v>0</v>
      </c>
      <c r="F38" s="249">
        <v>0</v>
      </c>
      <c r="G38" s="154">
        <f>T38</f>
        <v>10.95207177012486</v>
      </c>
      <c r="H38" s="252">
        <f>IF(E38&lt;26.5,16*((10*(E38/$K$9))^$K$11)*(T38/12)*(C38/30),(-415.85+32.24*E38-0.43*E38^2)*(T38/12)*(C38/30))</f>
        <v>0</v>
      </c>
      <c r="I38" s="157">
        <f>IF(DO38=1,F38-H38,"")</f>
        <v>0</v>
      </c>
      <c r="J38" s="157">
        <f>IF(DO38=1,IF(DE38=0,0,IF(I38&lt;0,J37+I38,IF(I38&gt;=0,cad1*LN(DJ38/cad1)))),"")</f>
        <v>0</v>
      </c>
      <c r="K38" s="251">
        <f>IF(DH38&gt;=0,DJ38,IF(DJ38+DH38&gt;C29,C29,DJ38+DH38))</f>
        <v>100</v>
      </c>
      <c r="L38" s="165">
        <f>IF(DO38=1,DJ38-DJ37,"")</f>
        <v>0</v>
      </c>
      <c r="M38" s="157">
        <f>IF(DO38=1,IF(I38&gt;=0,H38,F38+ABS(L38)),"")</f>
        <v>0</v>
      </c>
      <c r="N38" s="157">
        <f>IF(DO38=1,H38-M38,"")</f>
        <v>0</v>
      </c>
      <c r="O38" s="251">
        <f>IF(DK38&lt;0,0,DK38)</f>
        <v>0</v>
      </c>
      <c r="P38" s="197">
        <f>DJ38*100/$C$11</f>
        <v>100</v>
      </c>
      <c r="Q38" s="179"/>
      <c r="R38" s="201">
        <f>23.45*SIN(RADIANS((360/365)*(D38-81)))</f>
        <v>17.913187969938228</v>
      </c>
      <c r="S38" s="201">
        <f t="shared" si="43"/>
        <v>82.14053827593645</v>
      </c>
      <c r="T38" s="201">
        <f t="shared" si="6"/>
        <v>10.95207177012486</v>
      </c>
      <c r="U38" s="202"/>
      <c r="V38" s="202"/>
      <c r="W38" s="202"/>
      <c r="X38" s="203"/>
      <c r="Y38" s="159"/>
      <c r="Z38" s="160"/>
      <c r="AA38" s="161" t="str">
        <f>IF(J38="","",B38)</f>
        <v>A</v>
      </c>
      <c r="AB38" s="160">
        <f>IF(J38="","",IF(DK38&lt;&gt;N38,N38*-1,0))</f>
        <v>0</v>
      </c>
      <c r="AC38" s="162">
        <f>IF(J38="","",IF(O38&lt;&gt;N38,O38,0))</f>
        <v>0</v>
      </c>
      <c r="AD38" s="160"/>
      <c r="AE38" s="163"/>
      <c r="AF38" s="159"/>
      <c r="AG38" s="159"/>
      <c r="AH38" s="159"/>
      <c r="AI38" s="163"/>
      <c r="AJ38" s="163"/>
      <c r="AK38" s="163"/>
      <c r="AL38" s="163"/>
      <c r="AM38" s="163"/>
      <c r="AN38" s="163"/>
      <c r="AO38" s="163"/>
      <c r="AP38" s="164" t="str">
        <f>IF(J38="","",B38)</f>
        <v>A</v>
      </c>
      <c r="AQ38" s="165">
        <f>IF(J38="","",F38)</f>
        <v>0</v>
      </c>
      <c r="AR38" s="165">
        <f>IF(J38="","",H38)</f>
        <v>0</v>
      </c>
      <c r="AS38" s="166">
        <f>IF(J38="","",M38)</f>
        <v>0</v>
      </c>
      <c r="AT38" s="167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61" t="str">
        <f>IF(J38="","",B38)</f>
        <v>A</v>
      </c>
      <c r="BF38" s="160">
        <f t="shared" si="33"/>
        <v>100</v>
      </c>
      <c r="BG38" s="162">
        <f>IF(J38="","",DJ38)</f>
        <v>100</v>
      </c>
      <c r="BH38" s="159"/>
      <c r="BI38" s="159"/>
      <c r="BJ38" s="159"/>
      <c r="BK38" s="159"/>
      <c r="BL38" s="159"/>
      <c r="BM38" s="159"/>
      <c r="BN38" s="159"/>
      <c r="BO38" s="159"/>
      <c r="BP38" s="159"/>
      <c r="BQ38" s="172" t="str">
        <f>IF(J38="","",B38)</f>
        <v>A</v>
      </c>
      <c r="BR38" s="160">
        <f>IF(J38="","",DK38)</f>
        <v>0</v>
      </c>
      <c r="BS38" s="160">
        <f>IF(J38="","",N38*-1)</f>
        <v>0</v>
      </c>
      <c r="BT38" s="160">
        <f>IF(J38="","",IF(L38&lt;0,L38,0))</f>
        <v>0</v>
      </c>
      <c r="BU38" s="173">
        <f>IF(J38="","",IF(L38&gt;=0,L38,0))</f>
        <v>0</v>
      </c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83"/>
      <c r="CI38" s="4">
        <v>1</v>
      </c>
      <c r="CK38" s="28">
        <f>CK37+1</f>
        <v>20</v>
      </c>
      <c r="CQ38" s="43">
        <f>IF(I38&lt;0,1,0)</f>
        <v>0</v>
      </c>
      <c r="CR38" s="43">
        <f>IF(AND(CQ37=1,CQ38=0),1,0)</f>
        <v>0</v>
      </c>
      <c r="CS38" s="43">
        <f>IF(AND(CR37=1,CR38=0),1,0)</f>
        <v>0</v>
      </c>
      <c r="CT38" s="43">
        <f>IF(AND(CS37=1,CS38=0),1,0)</f>
        <v>0</v>
      </c>
      <c r="CU38" s="43">
        <f>IF(AND(CT37=1,CT38=0),1,0)</f>
        <v>0</v>
      </c>
      <c r="CV38" s="43">
        <f>IF(AND(CU37=1,CU38=0),1,0)</f>
        <v>0</v>
      </c>
      <c r="CW38" s="43">
        <f>IF(AND(CV37=1,CV38=0),1,0)</f>
        <v>0</v>
      </c>
      <c r="CX38" s="43">
        <f>IF(AND(CW37=1,CW38=0),1,0)</f>
        <v>0</v>
      </c>
      <c r="CY38" s="43">
        <f>IF(AND(CX37=1,CX38=0),1,0)</f>
        <v>0</v>
      </c>
      <c r="CZ38" s="43">
        <f>IF(AND(CY37=1,CY38=0),1,0)</f>
        <v>0</v>
      </c>
      <c r="DA38" s="43">
        <f>IF(AND(CZ37=1,CZ38=0),1,0)</f>
        <v>0</v>
      </c>
      <c r="DB38" s="43">
        <f>IF(AND(DA37=1,DA38=0),1,0)</f>
        <v>1</v>
      </c>
      <c r="DC38" s="43">
        <f>IF(AND($DN$45=1,OR(DM38=$DM$44,DC37=1)),1,0)</f>
        <v>0</v>
      </c>
      <c r="DD38" s="43">
        <f>IF(AND(DC38=1,DC37=0),I38,0)</f>
        <v>0</v>
      </c>
      <c r="DE38" s="43">
        <f>IF(OR(CQ38=1,CR38=1,CS38=1,CT38=1,CU38=1,CV38=1,CW38=1,CX38=1,CY38=1,CZ38=1,DA38=1,DB38=1,DC38=1),1,0)</f>
        <v>1</v>
      </c>
      <c r="DF38" s="250" t="b">
        <f>IF(DO38=1,IF(DE38=0,IF($DN$45=1,$DD$44,cad1),IF(I38&lt;0,cad1*EXP(J38/cad1),IF(I38&gt;0,DF37+ABS(I38)))),"")</f>
        <v>0</v>
      </c>
      <c r="DG38" s="44"/>
      <c r="DH38" s="45">
        <f>DK38</f>
        <v>0</v>
      </c>
      <c r="DI38" s="44"/>
      <c r="DJ38" s="165">
        <f>IF(DO38=1,IF(DF38&gt;cad1,cad1,DF38),"")</f>
        <v>100</v>
      </c>
      <c r="DK38" s="171">
        <f>IF(DO38=1,IF(DJ38&lt;cad1,0,IF(DJ38=cad1,I38-L38)),"")</f>
        <v>0</v>
      </c>
      <c r="DL38" s="44"/>
      <c r="DM38" s="45">
        <f>IF(DO38=1,IF(I38&lt;0,0,I38+DM37),"")</f>
        <v>190.79840870110587</v>
      </c>
      <c r="DN38" s="45">
        <f>IF(DO38=1,IF(I38&lt;0,DN37,DN37+I38),"")</f>
        <v>455.5702216798446</v>
      </c>
      <c r="DO38" s="43">
        <f>IF(OR(B38="fim",DO37=0),0,1)</f>
        <v>1</v>
      </c>
      <c r="DP38" s="44"/>
      <c r="DQ38" s="189"/>
      <c r="DR38" s="190"/>
      <c r="DS38" s="190"/>
      <c r="DT38" s="191"/>
      <c r="DU38" s="191"/>
      <c r="DV38" s="190"/>
      <c r="DW38" s="190"/>
      <c r="DX38" s="190"/>
    </row>
    <row r="39" spans="1:128" ht="14.25">
      <c r="A39" s="69"/>
      <c r="B39" s="151" t="s">
        <v>105</v>
      </c>
      <c r="C39" s="152">
        <v>30</v>
      </c>
      <c r="D39" s="186">
        <f>IF(D38+C38&gt;365,((D38+C38)-365),D38+C38)</f>
        <v>244</v>
      </c>
      <c r="E39" s="153">
        <v>0</v>
      </c>
      <c r="F39" s="249">
        <v>0</v>
      </c>
      <c r="G39" s="154">
        <f>T39</f>
        <v>11.561396107868411</v>
      </c>
      <c r="H39" s="252">
        <f>IF(E39&lt;26.5,16*((10*(E39/$K$9))^$K$11)*(T39/12)*(C39/30),(-415.85+32.24*E39-0.43*E39^2)*(T39/12)*(C39/30))</f>
        <v>0</v>
      </c>
      <c r="I39" s="157">
        <f>IF(DO39=1,F39-H39,"")</f>
        <v>0</v>
      </c>
      <c r="J39" s="157">
        <f>IF(DO39=1,IF(DE39=0,0,IF(I39&lt;0,J38+I39,IF(I39&gt;=0,cad1*LN(DJ39/cad1)))),"")</f>
        <v>0</v>
      </c>
      <c r="K39" s="251">
        <f>IF(DH39&gt;=0,DJ39,IF(DJ39+DH39&gt;C30,C30,DJ39+DH39))</f>
        <v>100</v>
      </c>
      <c r="L39" s="165">
        <f>IF(DO39=1,DJ39-DJ38,"")</f>
        <v>0</v>
      </c>
      <c r="M39" s="157">
        <f>IF(DO39=1,IF(I39&gt;=0,H39,F39+ABS(L39)),"")</f>
        <v>0</v>
      </c>
      <c r="N39" s="157">
        <f>IF(DO39=1,H39-M39,"")</f>
        <v>0</v>
      </c>
      <c r="O39" s="251">
        <f>IF(DK39&lt;0,0,DK39)</f>
        <v>0</v>
      </c>
      <c r="P39" s="197">
        <f>DJ39*100/$C$11</f>
        <v>100</v>
      </c>
      <c r="Q39" s="179"/>
      <c r="R39" s="201">
        <f>23.45*SIN(RADIANS((360/365)*(D39-81)))</f>
        <v>7.724628908165237</v>
      </c>
      <c r="S39" s="201">
        <f t="shared" si="43"/>
        <v>86.71047080901309</v>
      </c>
      <c r="T39" s="201">
        <f t="shared" si="6"/>
        <v>11.561396107868411</v>
      </c>
      <c r="U39" s="202"/>
      <c r="V39" s="202"/>
      <c r="W39" s="202"/>
      <c r="X39" s="203"/>
      <c r="Y39" s="159"/>
      <c r="Z39" s="160"/>
      <c r="AA39" s="161" t="str">
        <f>IF(J39="","",B39)</f>
        <v>S</v>
      </c>
      <c r="AB39" s="160">
        <f>IF(J39="","",IF(DK39&lt;&gt;N39,N39*-1,0))</f>
        <v>0</v>
      </c>
      <c r="AC39" s="162">
        <f>IF(J39="","",IF(O39&lt;&gt;N39,O39,0))</f>
        <v>0</v>
      </c>
      <c r="AD39" s="160"/>
      <c r="AE39" s="163"/>
      <c r="AF39" s="159"/>
      <c r="AG39" s="159"/>
      <c r="AH39" s="159"/>
      <c r="AI39" s="163"/>
      <c r="AJ39" s="163"/>
      <c r="AK39" s="163"/>
      <c r="AL39" s="163"/>
      <c r="AM39" s="163"/>
      <c r="AN39" s="163"/>
      <c r="AO39" s="163"/>
      <c r="AP39" s="164" t="str">
        <f>IF(J39="","",B39)</f>
        <v>S</v>
      </c>
      <c r="AQ39" s="165">
        <f>IF(J39="","",F39)</f>
        <v>0</v>
      </c>
      <c r="AR39" s="165">
        <f>IF(J39="","",H39)</f>
        <v>0</v>
      </c>
      <c r="AS39" s="166">
        <f>IF(J39="","",M39)</f>
        <v>0</v>
      </c>
      <c r="AT39" s="167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61" t="str">
        <f>IF(J39="","",B39)</f>
        <v>S</v>
      </c>
      <c r="BF39" s="160">
        <f t="shared" si="33"/>
        <v>100</v>
      </c>
      <c r="BG39" s="162">
        <f>IF(J39="","",DJ39)</f>
        <v>100</v>
      </c>
      <c r="BH39" s="159"/>
      <c r="BI39" s="159"/>
      <c r="BJ39" s="159"/>
      <c r="BK39" s="159"/>
      <c r="BL39" s="159"/>
      <c r="BM39" s="159"/>
      <c r="BN39" s="159"/>
      <c r="BO39" s="159"/>
      <c r="BP39" s="159"/>
      <c r="BQ39" s="172" t="str">
        <f>IF(J39="","",B39)</f>
        <v>S</v>
      </c>
      <c r="BR39" s="160">
        <f>IF(J39="","",DK39)</f>
        <v>0</v>
      </c>
      <c r="BS39" s="160">
        <f>IF(J39="","",N39*-1)</f>
        <v>0</v>
      </c>
      <c r="BT39" s="160">
        <f>IF(J39="","",IF(L39&lt;0,L39,0))</f>
        <v>0</v>
      </c>
      <c r="BU39" s="173">
        <f>IF(J39="","",IF(L39&gt;=0,L39,0))</f>
        <v>0</v>
      </c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83"/>
      <c r="CI39" s="4">
        <v>1</v>
      </c>
      <c r="CK39" s="28">
        <f>CK38+1</f>
        <v>21</v>
      </c>
      <c r="CQ39" s="43">
        <f>IF(I39&lt;0,1,0)</f>
        <v>0</v>
      </c>
      <c r="CR39" s="43">
        <f>IF(AND(CQ38=1,CQ39=0),1,0)</f>
        <v>0</v>
      </c>
      <c r="CS39" s="43">
        <f>IF(AND(CR38=1,CR39=0),1,0)</f>
        <v>0</v>
      </c>
      <c r="CT39" s="43">
        <f>IF(AND(CS38=1,CS39=0),1,0)</f>
        <v>0</v>
      </c>
      <c r="CU39" s="43">
        <f>IF(AND(CT38=1,CT39=0),1,0)</f>
        <v>0</v>
      </c>
      <c r="CV39" s="43">
        <f>IF(AND(CU38=1,CU39=0),1,0)</f>
        <v>0</v>
      </c>
      <c r="CW39" s="43">
        <f>IF(AND(CV38=1,CV39=0),1,0)</f>
        <v>0</v>
      </c>
      <c r="CX39" s="43">
        <f>IF(AND(CW38=1,CW39=0),1,0)</f>
        <v>0</v>
      </c>
      <c r="CY39" s="43">
        <f>IF(AND(CX38=1,CX39=0),1,0)</f>
        <v>0</v>
      </c>
      <c r="CZ39" s="43">
        <f>IF(AND(CY38=1,CY39=0),1,0)</f>
        <v>0</v>
      </c>
      <c r="DA39" s="43">
        <f>IF(AND(CZ38=1,CZ39=0),1,0)</f>
        <v>0</v>
      </c>
      <c r="DB39" s="43">
        <f>IF(AND(DA38=1,DA39=0),1,0)</f>
        <v>0</v>
      </c>
      <c r="DC39" s="43">
        <f>IF(AND($DN$45=1,OR(DM39=$DM$44,DC38=1)),1,0)</f>
        <v>0</v>
      </c>
      <c r="DD39" s="43">
        <f>IF(AND(DC39=1,DC38=0),I39,0)</f>
        <v>0</v>
      </c>
      <c r="DE39" s="43">
        <f>IF(OR(CQ39=1,CR39=1,CS39=1,CT39=1,CU39=1,CV39=1,CW39=1,CX39=1,CY39=1,CZ39=1,DA39=1,DB39=1,DC39=1),1,0)</f>
        <v>0</v>
      </c>
      <c r="DF39" s="250">
        <f>IF(DO39=1,IF(DE39=0,IF($DN$45=1,$DD$44,cad1),IF(I39&lt;0,cad1*EXP(J39/cad1),IF(I39&gt;0,DF38+ABS(I39)))),"")</f>
        <v>100</v>
      </c>
      <c r="DG39" s="44"/>
      <c r="DH39" s="45">
        <f>DK39</f>
        <v>0</v>
      </c>
      <c r="DI39" s="44"/>
      <c r="DJ39" s="165">
        <f>IF(DO39=1,IF(DF39&gt;cad1,cad1,DF39),"")</f>
        <v>100</v>
      </c>
      <c r="DK39" s="171">
        <f>IF(DO39=1,IF(DJ39&lt;cad1,0,IF(DJ39=cad1,I39-L39)),"")</f>
        <v>0</v>
      </c>
      <c r="DL39" s="44"/>
      <c r="DM39" s="45">
        <f>IF(DO39=1,IF(I39&lt;0,0,I39+DM38),"")</f>
        <v>190.79840870110587</v>
      </c>
      <c r="DN39" s="45">
        <f>IF(DO39=1,IF(I39&lt;0,DN38,DN38+I39),"")</f>
        <v>455.5702216798446</v>
      </c>
      <c r="DO39" s="43">
        <f>IF(OR(B39="fim",DO38=0),0,1)</f>
        <v>1</v>
      </c>
      <c r="DP39" s="44"/>
      <c r="DQ39" s="189"/>
      <c r="DR39" s="190"/>
      <c r="DS39" s="190"/>
      <c r="DT39" s="191"/>
      <c r="DU39" s="191"/>
      <c r="DV39" s="190"/>
      <c r="DW39" s="190"/>
      <c r="DX39" s="190"/>
    </row>
    <row r="40" spans="1:128" ht="14.25">
      <c r="A40" s="69"/>
      <c r="B40" s="151" t="s">
        <v>106</v>
      </c>
      <c r="C40" s="152">
        <v>31</v>
      </c>
      <c r="D40" s="186">
        <f>IF(D39+C39&gt;365,((D39+C39)-365),D39+C39)</f>
        <v>274</v>
      </c>
      <c r="E40" s="153">
        <v>0</v>
      </c>
      <c r="F40" s="249">
        <v>0</v>
      </c>
      <c r="G40" s="154">
        <f>T40</f>
        <v>12.238243225818772</v>
      </c>
      <c r="H40" s="252">
        <f>IF(E40&lt;26.5,16*((10*(E40/$K$9))^$K$11)*(T40/12)*(C40/30),(-415.85+32.24*E40-0.43*E40^2)*(T40/12)*(C40/30))</f>
        <v>0</v>
      </c>
      <c r="I40" s="157">
        <f>IF(DO40=1,F40-H40,"")</f>
        <v>0</v>
      </c>
      <c r="J40" s="157">
        <f>IF(DO40=1,IF(DE40=0,0,IF(I40&lt;0,J39+I40,IF(I40&gt;=0,cad1*LN(DJ40/cad1)))),"")</f>
        <v>0</v>
      </c>
      <c r="K40" s="251">
        <f>IF(DH40&gt;=0,DJ40,IF(DJ40+DH40&gt;C31,C31,DJ40+DH40))</f>
        <v>100</v>
      </c>
      <c r="L40" s="165">
        <f>IF(DO40=1,DJ40-DJ39,"")</f>
        <v>0</v>
      </c>
      <c r="M40" s="157">
        <f>IF(DO40=1,IF(I40&gt;=0,H40,F40+ABS(L40)),"")</f>
        <v>0</v>
      </c>
      <c r="N40" s="157">
        <f>IF(DO40=1,H40-M40,"")</f>
        <v>0</v>
      </c>
      <c r="O40" s="251">
        <f>IF(DK40&lt;0,0,DK40)</f>
        <v>0</v>
      </c>
      <c r="P40" s="197">
        <f>DJ40*100/$C$11</f>
        <v>100</v>
      </c>
      <c r="Q40" s="179"/>
      <c r="R40" s="201">
        <f>23.45*SIN(RADIANS((360/365)*(D40-81)))</f>
        <v>-4.2155264352644215</v>
      </c>
      <c r="S40" s="201">
        <f t="shared" si="43"/>
        <v>91.7868241936408</v>
      </c>
      <c r="T40" s="201">
        <f t="shared" si="6"/>
        <v>12.238243225818772</v>
      </c>
      <c r="U40" s="202"/>
      <c r="V40" s="202"/>
      <c r="W40" s="202"/>
      <c r="X40" s="203"/>
      <c r="Y40" s="159"/>
      <c r="Z40" s="160"/>
      <c r="AA40" s="161" t="str">
        <f>IF(J40="","",B40)</f>
        <v>O</v>
      </c>
      <c r="AB40" s="160">
        <f>IF(J40="","",IF(DK40&lt;&gt;N40,N40*-1,0))</f>
        <v>0</v>
      </c>
      <c r="AC40" s="162">
        <f>IF(J40="","",IF(O40&lt;&gt;N40,O40,0))</f>
        <v>0</v>
      </c>
      <c r="AD40" s="160"/>
      <c r="AE40" s="163"/>
      <c r="AF40" s="159"/>
      <c r="AG40" s="159"/>
      <c r="AH40" s="159"/>
      <c r="AI40" s="163"/>
      <c r="AJ40" s="163"/>
      <c r="AK40" s="163"/>
      <c r="AL40" s="163"/>
      <c r="AM40" s="163"/>
      <c r="AN40" s="163"/>
      <c r="AO40" s="163"/>
      <c r="AP40" s="164" t="str">
        <f>IF(J40="","",B40)</f>
        <v>O</v>
      </c>
      <c r="AQ40" s="165">
        <f>IF(J40="","",F40)</f>
        <v>0</v>
      </c>
      <c r="AR40" s="165">
        <f>IF(J40="","",H40)</f>
        <v>0</v>
      </c>
      <c r="AS40" s="166">
        <f>IF(J40="","",M40)</f>
        <v>0</v>
      </c>
      <c r="AT40" s="167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61" t="str">
        <f>IF(J40="","",B40)</f>
        <v>O</v>
      </c>
      <c r="BF40" s="160">
        <f t="shared" si="33"/>
        <v>100</v>
      </c>
      <c r="BG40" s="162">
        <f>IF(J40="","",DJ40)</f>
        <v>100</v>
      </c>
      <c r="BH40" s="159"/>
      <c r="BI40" s="159"/>
      <c r="BJ40" s="159"/>
      <c r="BK40" s="159"/>
      <c r="BL40" s="159"/>
      <c r="BM40" s="159"/>
      <c r="BN40" s="159"/>
      <c r="BO40" s="159"/>
      <c r="BP40" s="159"/>
      <c r="BQ40" s="172" t="str">
        <f>IF(J40="","",B40)</f>
        <v>O</v>
      </c>
      <c r="BR40" s="160">
        <f>IF(J40="","",DK40)</f>
        <v>0</v>
      </c>
      <c r="BS40" s="160">
        <f>IF(J40="","",N40*-1)</f>
        <v>0</v>
      </c>
      <c r="BT40" s="160">
        <f>IF(J40="","",IF(L40&lt;0,L40,0))</f>
        <v>0</v>
      </c>
      <c r="BU40" s="173">
        <f>IF(J40="","",IF(L40&gt;=0,L40,0))</f>
        <v>0</v>
      </c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83"/>
      <c r="CI40" s="4">
        <v>1</v>
      </c>
      <c r="CK40" s="28">
        <f>CK39+1</f>
        <v>22</v>
      </c>
      <c r="CQ40" s="43">
        <f>IF(I40&lt;0,1,0)</f>
        <v>0</v>
      </c>
      <c r="CR40" s="43">
        <f>IF(AND(CQ39=1,CQ40=0),1,0)</f>
        <v>0</v>
      </c>
      <c r="CS40" s="43">
        <f>IF(AND(CR39=1,CR40=0),1,0)</f>
        <v>0</v>
      </c>
      <c r="CT40" s="43">
        <f>IF(AND(CS39=1,CS40=0),1,0)</f>
        <v>0</v>
      </c>
      <c r="CU40" s="43">
        <f>IF(AND(CT39=1,CT40=0),1,0)</f>
        <v>0</v>
      </c>
      <c r="CV40" s="43">
        <f>IF(AND(CU39=1,CU40=0),1,0)</f>
        <v>0</v>
      </c>
      <c r="CW40" s="43">
        <f>IF(AND(CV39=1,CV40=0),1,0)</f>
        <v>0</v>
      </c>
      <c r="CX40" s="43">
        <f>IF(AND(CW39=1,CW40=0),1,0)</f>
        <v>0</v>
      </c>
      <c r="CY40" s="43">
        <f>IF(AND(CX39=1,CX40=0),1,0)</f>
        <v>0</v>
      </c>
      <c r="CZ40" s="43">
        <f>IF(AND(CY39=1,CY40=0),1,0)</f>
        <v>0</v>
      </c>
      <c r="DA40" s="43">
        <f>IF(AND(CZ39=1,CZ40=0),1,0)</f>
        <v>0</v>
      </c>
      <c r="DB40" s="43">
        <f>IF(AND(DA39=1,DA40=0),1,0)</f>
        <v>0</v>
      </c>
      <c r="DC40" s="43">
        <f>IF(AND($DN$45=1,OR(DM40=$DM$44,DC39=1)),1,0)</f>
        <v>0</v>
      </c>
      <c r="DD40" s="43">
        <f>IF(AND(DC40=1,DC39=0),I40,0)</f>
        <v>0</v>
      </c>
      <c r="DE40" s="43">
        <f>IF(OR(CQ40=1,CR40=1,CS40=1,CT40=1,CU40=1,CV40=1,CW40=1,CX40=1,CY40=1,CZ40=1,DA40=1,DB40=1,DC40=1),1,0)</f>
        <v>0</v>
      </c>
      <c r="DF40" s="250">
        <f>IF(DO40=1,IF(DE40=0,IF($DN$45=1,$DD$44,cad1),IF(I40&lt;0,cad1*EXP(J40/cad1),IF(I40&gt;0,DF39+ABS(I40)))),"")</f>
        <v>100</v>
      </c>
      <c r="DG40" s="44"/>
      <c r="DH40" s="45">
        <f>DK40</f>
        <v>0</v>
      </c>
      <c r="DI40" s="44"/>
      <c r="DJ40" s="165">
        <f>IF(DO40=1,IF(DF40&gt;cad1,cad1,DF40),"")</f>
        <v>100</v>
      </c>
      <c r="DK40" s="171">
        <f>IF(DO40=1,IF(DJ40&lt;cad1,0,IF(DJ40=cad1,I40-L40)),"")</f>
        <v>0</v>
      </c>
      <c r="DL40" s="44"/>
      <c r="DM40" s="45">
        <f>IF(DO40=1,IF(I40&lt;0,0,I40+DM39),"")</f>
        <v>190.79840870110587</v>
      </c>
      <c r="DN40" s="45">
        <f>IF(DO40=1,IF(I40&lt;0,DN39,DN39+I40),"")</f>
        <v>455.5702216798446</v>
      </c>
      <c r="DO40" s="43">
        <f>IF(OR(B40="fim",DO39=0),0,1)</f>
        <v>1</v>
      </c>
      <c r="DP40" s="44"/>
      <c r="DQ40" s="189"/>
      <c r="DR40" s="190"/>
      <c r="DS40" s="190"/>
      <c r="DT40" s="191"/>
      <c r="DU40" s="191"/>
      <c r="DV40" s="190"/>
      <c r="DW40" s="190"/>
      <c r="DX40" s="190"/>
    </row>
    <row r="41" spans="1:128" ht="14.25">
      <c r="A41" s="69"/>
      <c r="B41" s="151" t="s">
        <v>15</v>
      </c>
      <c r="C41" s="152">
        <v>30</v>
      </c>
      <c r="D41" s="186">
        <f>IF(D40+C40&gt;365,((D40+C40)-365),D40+C40)</f>
        <v>305</v>
      </c>
      <c r="E41" s="153">
        <v>0</v>
      </c>
      <c r="F41" s="249">
        <v>0</v>
      </c>
      <c r="G41" s="154">
        <f>T41</f>
        <v>12.889961325285457</v>
      </c>
      <c r="H41" s="252">
        <f>IF(E41&lt;26.5,16*((10*(E41/$K$9))^$K$11)*(T41/12)*(C41/30),(-415.85+32.24*E41-0.43*E41^2)*(T41/12)*(C41/30))</f>
        <v>0</v>
      </c>
      <c r="I41" s="157">
        <f>IF(DO41=1,F41-H41,"")</f>
        <v>0</v>
      </c>
      <c r="J41" s="157">
        <f>IF(DO41=1,IF(DE41=0,0,IF(I41&lt;0,J40+I41,IF(I41&gt;=0,cad1*LN(DJ41/cad1)))),"")</f>
        <v>0</v>
      </c>
      <c r="K41" s="251">
        <f>IF(DH41&gt;=0,DJ41,IF(DJ41+DH41&gt;C32,C32,DJ41+DH41))</f>
        <v>100</v>
      </c>
      <c r="L41" s="165">
        <f>IF(DO41=1,DJ41-DJ40,"")</f>
        <v>0</v>
      </c>
      <c r="M41" s="157">
        <f>IF(DO41=1,IF(I41&gt;=0,H41,F41+ABS(L41)),"")</f>
        <v>0</v>
      </c>
      <c r="N41" s="157">
        <f>IF(DO41=1,H41-M41,"")</f>
        <v>0</v>
      </c>
      <c r="O41" s="251">
        <f>IF(DK41&lt;0,0,DK41)</f>
        <v>0</v>
      </c>
      <c r="P41" s="197">
        <f>DJ41*100/$C$11</f>
        <v>100</v>
      </c>
      <c r="Q41" s="179"/>
      <c r="R41" s="201">
        <f>23.45*SIN(RADIANS((360/365)*(D41-81)))</f>
        <v>-15.363416576553035</v>
      </c>
      <c r="S41" s="201">
        <f t="shared" si="43"/>
        <v>96.67470993964092</v>
      </c>
      <c r="T41" s="201">
        <f t="shared" si="6"/>
        <v>12.889961325285457</v>
      </c>
      <c r="U41" s="202"/>
      <c r="V41" s="202"/>
      <c r="W41" s="202"/>
      <c r="X41" s="203"/>
      <c r="Y41" s="159"/>
      <c r="Z41" s="160"/>
      <c r="AA41" s="161" t="str">
        <f>IF(J41="","",B41)</f>
        <v>N</v>
      </c>
      <c r="AB41" s="160">
        <f>IF(J41="","",IF(DK41&lt;&gt;N41,N41*-1,0))</f>
        <v>0</v>
      </c>
      <c r="AC41" s="162">
        <f>IF(J41="","",IF(O41&lt;&gt;N41,O41,0))</f>
        <v>0</v>
      </c>
      <c r="AD41" s="160"/>
      <c r="AE41" s="163"/>
      <c r="AF41" s="159"/>
      <c r="AG41" s="159"/>
      <c r="AH41" s="159"/>
      <c r="AI41" s="163"/>
      <c r="AJ41" s="163"/>
      <c r="AK41" s="163"/>
      <c r="AL41" s="163"/>
      <c r="AM41" s="163"/>
      <c r="AN41" s="163"/>
      <c r="AO41" s="163"/>
      <c r="AP41" s="164" t="str">
        <f>IF(J41="","",B41)</f>
        <v>N</v>
      </c>
      <c r="AQ41" s="165">
        <f>IF(J41="","",F41)</f>
        <v>0</v>
      </c>
      <c r="AR41" s="165">
        <f>IF(J41="","",H41)</f>
        <v>0</v>
      </c>
      <c r="AS41" s="166">
        <f>IF(J41="","",M41)</f>
        <v>0</v>
      </c>
      <c r="AT41" s="167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61" t="str">
        <f>IF(J41="","",B41)</f>
        <v>N</v>
      </c>
      <c r="BF41" s="160">
        <f t="shared" si="33"/>
        <v>100</v>
      </c>
      <c r="BG41" s="162">
        <f>IF(J41="","",DJ41)</f>
        <v>100</v>
      </c>
      <c r="BH41" s="159"/>
      <c r="BI41" s="159"/>
      <c r="BJ41" s="159"/>
      <c r="BK41" s="159"/>
      <c r="BL41" s="159"/>
      <c r="BM41" s="159"/>
      <c r="BN41" s="159"/>
      <c r="BO41" s="159"/>
      <c r="BP41" s="159"/>
      <c r="BQ41" s="172" t="str">
        <f>IF(J41="","",B41)</f>
        <v>N</v>
      </c>
      <c r="BR41" s="160">
        <f>IF(J41="","",DK41)</f>
        <v>0</v>
      </c>
      <c r="BS41" s="160">
        <f>IF(J41="","",N41*-1)</f>
        <v>0</v>
      </c>
      <c r="BT41" s="160">
        <f>IF(J41="","",IF(L41&lt;0,L41,0))</f>
        <v>0</v>
      </c>
      <c r="BU41" s="173">
        <f>IF(J41="","",IF(L41&gt;=0,L41,0))</f>
        <v>0</v>
      </c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83"/>
      <c r="CI41" s="4">
        <v>1</v>
      </c>
      <c r="CK41" s="28">
        <f>CK40+1</f>
        <v>23</v>
      </c>
      <c r="CQ41" s="43">
        <f>IF(I41&lt;0,1,0)</f>
        <v>0</v>
      </c>
      <c r="CR41" s="43">
        <f>IF(AND(CQ40=1,CQ41=0),1,0)</f>
        <v>0</v>
      </c>
      <c r="CS41" s="43">
        <f>IF(AND(CR40=1,CR41=0),1,0)</f>
        <v>0</v>
      </c>
      <c r="CT41" s="43">
        <f>IF(AND(CS40=1,CS41=0),1,0)</f>
        <v>0</v>
      </c>
      <c r="CU41" s="43">
        <f>IF(AND(CT40=1,CT41=0),1,0)</f>
        <v>0</v>
      </c>
      <c r="CV41" s="43">
        <f>IF(AND(CU40=1,CU41=0),1,0)</f>
        <v>0</v>
      </c>
      <c r="CW41" s="43">
        <f>IF(AND(CV40=1,CV41=0),1,0)</f>
        <v>0</v>
      </c>
      <c r="CX41" s="43">
        <f>IF(AND(CW40=1,CW41=0),1,0)</f>
        <v>0</v>
      </c>
      <c r="CY41" s="43">
        <f>IF(AND(CX40=1,CX41=0),1,0)</f>
        <v>0</v>
      </c>
      <c r="CZ41" s="43">
        <f>IF(AND(CY40=1,CY41=0),1,0)</f>
        <v>0</v>
      </c>
      <c r="DA41" s="43">
        <f>IF(AND(CZ40=1,CZ41=0),1,0)</f>
        <v>0</v>
      </c>
      <c r="DB41" s="43">
        <f>IF(AND(DA40=1,DA41=0),1,0)</f>
        <v>0</v>
      </c>
      <c r="DC41" s="43">
        <f>IF(AND($DN$45=1,OR(DM41=$DM$44,DC40=1)),1,0)</f>
        <v>0</v>
      </c>
      <c r="DD41" s="43">
        <f>IF(AND(DC41=1,DC40=0),I41,0)</f>
        <v>0</v>
      </c>
      <c r="DE41" s="43">
        <f>IF(OR(CQ41=1,CR41=1,CS41=1,CT41=1,CU41=1,CV41=1,CW41=1,CX41=1,CY41=1,CZ41=1,DA41=1,DB41=1,DC41=1),1,0)</f>
        <v>0</v>
      </c>
      <c r="DF41" s="250">
        <f>IF(DO41=1,IF(DE41=0,IF($DN$45=1,$DD$44,cad1),IF(I41&lt;0,cad1*EXP(J41/cad1),IF(I41&gt;0,DF40+ABS(I41)))),"")</f>
        <v>100</v>
      </c>
      <c r="DG41" s="44"/>
      <c r="DH41" s="45">
        <f>DK41</f>
        <v>0</v>
      </c>
      <c r="DI41" s="44"/>
      <c r="DJ41" s="165">
        <f>IF(DO41=1,IF(DF41&gt;cad1,cad1,DF41),"")</f>
        <v>100</v>
      </c>
      <c r="DK41" s="171">
        <f>IF(DO41=1,IF(DJ41&lt;cad1,0,IF(DJ41=cad1,I41-L41)),"")</f>
        <v>0</v>
      </c>
      <c r="DL41" s="44"/>
      <c r="DM41" s="45">
        <f>IF(DO41=1,IF(I41&lt;0,0,I41+DM40),"")</f>
        <v>190.79840870110587</v>
      </c>
      <c r="DN41" s="45">
        <f>IF(DO41=1,IF(I41&lt;0,DN40,DN40+I41),"")</f>
        <v>455.5702216798446</v>
      </c>
      <c r="DO41" s="43">
        <f>IF(OR(B41="fim",DO40=0),0,1)</f>
        <v>1</v>
      </c>
      <c r="DP41" s="44"/>
      <c r="DQ41" s="189"/>
      <c r="DR41" s="190"/>
      <c r="DS41" s="190"/>
      <c r="DT41" s="191"/>
      <c r="DU41" s="191"/>
      <c r="DV41" s="190"/>
      <c r="DW41" s="190"/>
      <c r="DX41" s="190"/>
    </row>
    <row r="42" spans="1:128" ht="15" thickBot="1">
      <c r="A42" s="69"/>
      <c r="B42" s="151" t="s">
        <v>107</v>
      </c>
      <c r="C42" s="152">
        <v>31</v>
      </c>
      <c r="D42" s="186">
        <f>IF(D41+C41&gt;365,((D41+C41)-365),D41+C41)</f>
        <v>335</v>
      </c>
      <c r="E42" s="153">
        <v>0</v>
      </c>
      <c r="F42" s="249">
        <v>0</v>
      </c>
      <c r="G42" s="154">
        <f>T42</f>
        <v>13.319330929293999</v>
      </c>
      <c r="H42" s="252">
        <f>IF(E42&lt;26.5,16*((10*(E42/$K$9))^$K$11)*(T42/12)*(C42/30),(-415.85+32.24*E42-0.43*E42^2)*(T42/12)*(C42/30))</f>
        <v>0</v>
      </c>
      <c r="I42" s="157">
        <f>IF(DO42=1,F42-H42,"")</f>
        <v>0</v>
      </c>
      <c r="J42" s="157">
        <f>IF(DO42=1,IF(DE42=0,0,IF(I42&lt;0,J41+I42,IF(I42&gt;=0,cad1*LN(DJ42/cad1)))),"")</f>
        <v>0</v>
      </c>
      <c r="K42" s="251">
        <f>IF(DH42&gt;=0,DJ42,IF(DJ42+DH42&gt;C33,C33,DJ42+DH42))</f>
        <v>100</v>
      </c>
      <c r="L42" s="165">
        <f>IF(DO42=1,DJ42-DJ41,"")</f>
        <v>0</v>
      </c>
      <c r="M42" s="157">
        <f>IF(DO42=1,IF(I42&gt;=0,H42,F42+ABS(L42)),"")</f>
        <v>0</v>
      </c>
      <c r="N42" s="157">
        <f>IF(DO42=1,H42-M42,"")</f>
        <v>0</v>
      </c>
      <c r="O42" s="251">
        <f>IF(DK42&lt;0,0,DK42)</f>
        <v>0</v>
      </c>
      <c r="P42" s="197">
        <f>DJ42*100/$C$11</f>
        <v>100</v>
      </c>
      <c r="Q42" s="179"/>
      <c r="R42" s="201">
        <f>23.45*SIN(RADIANS((360/365)*(D42-81)))</f>
        <v>-22.107748812505363</v>
      </c>
      <c r="S42" s="201">
        <f t="shared" si="43"/>
        <v>99.89498196970499</v>
      </c>
      <c r="T42" s="201">
        <f t="shared" si="6"/>
        <v>13.319330929293999</v>
      </c>
      <c r="U42" s="202"/>
      <c r="V42" s="202"/>
      <c r="W42" s="202"/>
      <c r="X42" s="203"/>
      <c r="Y42" s="159"/>
      <c r="Z42" s="160"/>
      <c r="AA42" s="161" t="str">
        <f>IF(J42="","",B42)</f>
        <v>D</v>
      </c>
      <c r="AB42" s="160">
        <f>IF(J42="","",IF(DK42&lt;&gt;N42,N42*-1,0))</f>
        <v>0</v>
      </c>
      <c r="AC42" s="162">
        <f>IF(J42="","",IF(O42&lt;&gt;N42,O42,0))</f>
        <v>0</v>
      </c>
      <c r="AD42" s="160"/>
      <c r="AE42" s="163"/>
      <c r="AF42" s="159"/>
      <c r="AG42" s="159"/>
      <c r="AH42" s="159"/>
      <c r="AI42" s="163"/>
      <c r="AJ42" s="163"/>
      <c r="AK42" s="163"/>
      <c r="AL42" s="163"/>
      <c r="AM42" s="163"/>
      <c r="AN42" s="163"/>
      <c r="AO42" s="163"/>
      <c r="AP42" s="164" t="str">
        <f>IF(J42="","",B42)</f>
        <v>D</v>
      </c>
      <c r="AQ42" s="165">
        <f>IF(J42="","",F42)</f>
        <v>0</v>
      </c>
      <c r="AR42" s="165">
        <f>IF(J42="","",H42)</f>
        <v>0</v>
      </c>
      <c r="AS42" s="166">
        <f>IF(J42="","",M42)</f>
        <v>0</v>
      </c>
      <c r="AT42" s="167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61" t="str">
        <f>IF(J42="","",B42)</f>
        <v>D</v>
      </c>
      <c r="BF42" s="160">
        <f t="shared" si="33"/>
        <v>100</v>
      </c>
      <c r="BG42" s="162">
        <f>IF(J42="","",DJ42)</f>
        <v>100</v>
      </c>
      <c r="BH42" s="159"/>
      <c r="BI42" s="159"/>
      <c r="BJ42" s="159"/>
      <c r="BK42" s="159"/>
      <c r="BL42" s="159"/>
      <c r="BM42" s="159"/>
      <c r="BN42" s="159"/>
      <c r="BO42" s="159"/>
      <c r="BP42" s="159"/>
      <c r="BQ42" s="172" t="str">
        <f>IF(J42="","",B42)</f>
        <v>D</v>
      </c>
      <c r="BR42" s="160">
        <f>IF(J42="","",DK42)</f>
        <v>0</v>
      </c>
      <c r="BS42" s="160">
        <f>IF(J42="","",N42*-1)</f>
        <v>0</v>
      </c>
      <c r="BT42" s="160">
        <f>IF(J42="","",IF(L42&lt;0,L42,0))</f>
        <v>0</v>
      </c>
      <c r="BU42" s="173">
        <f>IF(J42="","",IF(L42&gt;=0,L42,0))</f>
        <v>0</v>
      </c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83"/>
      <c r="CI42" s="4">
        <v>1</v>
      </c>
      <c r="CK42" s="28">
        <f>CK41+1</f>
        <v>24</v>
      </c>
      <c r="CQ42" s="43">
        <f>IF(I42&lt;0,1,0)</f>
        <v>0</v>
      </c>
      <c r="CR42" s="43">
        <f>IF(AND(CQ41=1,CQ42=0),1,0)</f>
        <v>0</v>
      </c>
      <c r="CS42" s="43">
        <f>IF(AND(CR41=1,CR42=0),1,0)</f>
        <v>0</v>
      </c>
      <c r="CT42" s="43">
        <f>IF(AND(CS41=1,CS42=0),1,0)</f>
        <v>0</v>
      </c>
      <c r="CU42" s="43">
        <f>IF(AND(CT41=1,CT42=0),1,0)</f>
        <v>0</v>
      </c>
      <c r="CV42" s="43">
        <f>IF(AND(CU41=1,CU42=0),1,0)</f>
        <v>0</v>
      </c>
      <c r="CW42" s="43">
        <f>IF(AND(CV41=1,CV42=0),1,0)</f>
        <v>0</v>
      </c>
      <c r="CX42" s="43">
        <f>IF(AND(CW41=1,CW42=0),1,0)</f>
        <v>0</v>
      </c>
      <c r="CY42" s="43">
        <f>IF(AND(CX41=1,CX42=0),1,0)</f>
        <v>0</v>
      </c>
      <c r="CZ42" s="43">
        <f>IF(AND(CY41=1,CY42=0),1,0)</f>
        <v>0</v>
      </c>
      <c r="DA42" s="43">
        <f>IF(AND(CZ41=1,CZ42=0),1,0)</f>
        <v>0</v>
      </c>
      <c r="DB42" s="43">
        <f>IF(AND(DA41=1,DA42=0),1,0)</f>
        <v>0</v>
      </c>
      <c r="DC42" s="43">
        <f>IF(AND($DN$45=1,OR(DM42=$DM$44,DC41=1)),1,0)</f>
        <v>0</v>
      </c>
      <c r="DD42" s="43">
        <f>IF(AND(DC42=1,DC41=0),I42,0)</f>
        <v>0</v>
      </c>
      <c r="DE42" s="43">
        <f>IF(OR(CQ42=1,CR42=1,CS42=1,CT42=1,CU42=1,CV42=1,CW42=1,CX42=1,CY42=1,CZ42=1,DA42=1,DB42=1,DC42=1),1,0)</f>
        <v>0</v>
      </c>
      <c r="DF42" s="250">
        <f>IF(DO42=1,IF(DE42=0,IF($DN$45=1,$DD$44,cad1),IF(I42&lt;0,cad1*EXP(J42/cad1),IF(I42&gt;0,DF41+ABS(I42)))),"")</f>
        <v>100</v>
      </c>
      <c r="DG42" s="44"/>
      <c r="DH42" s="45">
        <f>DK42</f>
        <v>0</v>
      </c>
      <c r="DI42" s="44"/>
      <c r="DJ42" s="165">
        <f>IF(DO42=1,IF(DF42&gt;cad1,cad1,DF42),"")</f>
        <v>100</v>
      </c>
      <c r="DK42" s="171">
        <f>IF(DO42=1,IF(DJ42&lt;cad1,0,IF(DJ42=cad1,I42-L42)),"")</f>
        <v>0</v>
      </c>
      <c r="DL42" s="44"/>
      <c r="DM42" s="45">
        <f>IF(DO42=1,IF(I42&lt;0,0,I42+DM41),"")</f>
        <v>190.79840870110587</v>
      </c>
      <c r="DN42" s="45">
        <f>IF(DO42=1,IF(I42&lt;0,DN41,DN41+I42),"")</f>
        <v>455.5702216798446</v>
      </c>
      <c r="DO42" s="43">
        <f>IF(OR(B42="fim",DO41=0),0,1)</f>
        <v>1</v>
      </c>
      <c r="DP42" s="44"/>
      <c r="DQ42" s="189"/>
      <c r="DR42" s="190"/>
      <c r="DS42" s="190"/>
      <c r="DT42" s="191"/>
      <c r="DU42" s="191"/>
      <c r="DV42" s="190"/>
      <c r="DW42" s="190"/>
      <c r="DX42" s="190"/>
    </row>
    <row r="43" spans="1:128" ht="16.5" thickBot="1">
      <c r="A43" s="69"/>
      <c r="B43" s="174" t="s">
        <v>40</v>
      </c>
      <c r="C43" s="175"/>
      <c r="D43" s="176"/>
      <c r="E43" s="177">
        <f>SUM(E19:E43)-E43</f>
        <v>248.79999999999995</v>
      </c>
      <c r="F43" s="177">
        <f>SUM(F19:F43)-F43</f>
        <v>1381.2</v>
      </c>
      <c r="G43" s="177">
        <f>SUM(G19:G43)-G43</f>
        <v>288.0890535796145</v>
      </c>
      <c r="H43" s="177">
        <f>SUM(H19:H43)-H43</f>
        <v>962.4786637377683</v>
      </c>
      <c r="I43" s="176"/>
      <c r="J43" s="176"/>
      <c r="K43" s="177">
        <f>SUM(K19:K43)-K43</f>
        <v>2336.296405723901</v>
      </c>
      <c r="L43" s="176"/>
      <c r="M43" s="177">
        <f>SUM(M19:M43)-M43</f>
        <v>958.2349321507054</v>
      </c>
      <c r="N43" s="177">
        <f>SUM(N19:N43)-N43</f>
        <v>4.2437315870629035</v>
      </c>
      <c r="O43" s="178">
        <f>SUM(O19:O43)-O43</f>
        <v>422.96506784929466</v>
      </c>
      <c r="P43" s="116"/>
      <c r="Q43" s="109"/>
      <c r="R43" s="109"/>
      <c r="S43" s="109"/>
      <c r="T43" s="109"/>
      <c r="U43" s="109"/>
      <c r="V43" s="109"/>
      <c r="W43" s="109"/>
      <c r="X43" s="118"/>
      <c r="Y43" s="69"/>
      <c r="Z43" s="69"/>
      <c r="AA43" s="108"/>
      <c r="AB43" s="76"/>
      <c r="AC43" s="115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108"/>
      <c r="AQ43" s="104"/>
      <c r="AR43" s="104"/>
      <c r="AS43" s="105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108"/>
      <c r="BF43" s="104"/>
      <c r="BG43" s="105"/>
      <c r="BH43" s="69"/>
      <c r="BI43" s="69"/>
      <c r="BJ43" s="69"/>
      <c r="BK43" s="69"/>
      <c r="BL43" s="69"/>
      <c r="BM43" s="69"/>
      <c r="BN43" s="69"/>
      <c r="BO43" s="69"/>
      <c r="BP43" s="69"/>
      <c r="BQ43" s="108"/>
      <c r="BR43" s="104"/>
      <c r="BS43" s="104"/>
      <c r="BT43" s="104"/>
      <c r="BU43" s="105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83"/>
      <c r="CQ43" s="43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E43" s="44"/>
      <c r="DF43" s="44"/>
      <c r="DG43" s="44"/>
      <c r="DH43" s="44"/>
      <c r="DI43" s="44"/>
      <c r="DK43" s="44"/>
      <c r="DL43" s="44"/>
      <c r="DO43" s="44"/>
      <c r="DP43" s="44"/>
      <c r="DR43" s="4"/>
      <c r="DS43" s="4"/>
      <c r="DT43" s="4"/>
      <c r="DU43" s="4"/>
      <c r="DV43" s="4"/>
      <c r="DW43" s="4"/>
      <c r="DX43" s="4"/>
    </row>
    <row r="44" spans="1:121" s="2" customFormat="1" ht="16.5" thickBot="1">
      <c r="A44" s="69"/>
      <c r="B44" s="174" t="s">
        <v>41</v>
      </c>
      <c r="C44" s="175"/>
      <c r="D44" s="176"/>
      <c r="E44" s="177">
        <f>E43/CK17</f>
        <v>10.366666666666665</v>
      </c>
      <c r="F44" s="177">
        <f>F43/CK17</f>
        <v>57.550000000000004</v>
      </c>
      <c r="G44" s="177">
        <f>G43/CK17</f>
        <v>12.00371056581727</v>
      </c>
      <c r="H44" s="177">
        <f>H43/CK17</f>
        <v>40.10327765574035</v>
      </c>
      <c r="I44" s="176"/>
      <c r="J44" s="176"/>
      <c r="K44" s="177">
        <f>K43/CK17</f>
        <v>97.34568357182921</v>
      </c>
      <c r="L44" s="176"/>
      <c r="M44" s="177">
        <f>M43/CK17</f>
        <v>39.92645550627939</v>
      </c>
      <c r="N44" s="177">
        <f>N43/CK17</f>
        <v>0.17682214946095431</v>
      </c>
      <c r="O44" s="178">
        <f>O43/CK17</f>
        <v>17.623544493720612</v>
      </c>
      <c r="P44" s="119"/>
      <c r="Q44" s="120"/>
      <c r="R44" s="120"/>
      <c r="S44" s="120"/>
      <c r="T44" s="120"/>
      <c r="U44" s="120"/>
      <c r="V44" s="120"/>
      <c r="W44" s="120"/>
      <c r="X44" s="121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83"/>
      <c r="CI44" s="4"/>
      <c r="CJ44" s="4"/>
      <c r="CK44" s="4"/>
      <c r="CL44" s="4"/>
      <c r="CM44" s="4">
        <f>SUMIF(L19:L43,"&gt;0",L19:L43)</f>
        <v>32.605153830550066</v>
      </c>
      <c r="CN44" s="4">
        <f>SUMIF(L19:L43,"&lt;0",L19:L43)</f>
        <v>-32.605153830550066</v>
      </c>
      <c r="CO44" s="4"/>
      <c r="CP44" s="4"/>
      <c r="CQ44" s="43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3">
        <f>SUM(DD19:DD43)</f>
        <v>0</v>
      </c>
      <c r="DE44" s="44"/>
      <c r="DF44" s="44"/>
      <c r="DG44" s="44"/>
      <c r="DH44" s="44"/>
      <c r="DI44" s="44"/>
      <c r="DJ44" s="44"/>
      <c r="DK44" s="44"/>
      <c r="DL44" s="44"/>
      <c r="DM44" s="44">
        <f>LARGE(DM19:DM43,1)</f>
        <v>251.33506729992166</v>
      </c>
      <c r="DN44" s="44">
        <f>LARGE(DN19:DN43,1)</f>
        <v>455.5702216798446</v>
      </c>
      <c r="DO44" s="44"/>
      <c r="DP44" s="44"/>
      <c r="DQ44" s="4"/>
    </row>
    <row r="45" spans="1:121" s="2" customFormat="1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4"/>
      <c r="O45" s="74"/>
      <c r="P45" s="74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83"/>
      <c r="CI45" s="69"/>
      <c r="CJ45" s="69"/>
      <c r="CK45" s="69"/>
      <c r="CL45" s="69"/>
      <c r="CM45" s="4"/>
      <c r="CN45" s="4">
        <f>IF(CM44&lt;&gt;-CN44,"???ERRO",ROUND(CM44,2))</f>
        <v>32.61</v>
      </c>
      <c r="CO45" s="69"/>
      <c r="CP45" s="69"/>
      <c r="CQ45" s="84"/>
      <c r="CR45" s="85"/>
      <c r="CS45" s="85"/>
      <c r="CT45" s="84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44"/>
      <c r="DN45" s="44">
        <f>IF(DN44&lt;CQ10,1,0)</f>
        <v>0</v>
      </c>
      <c r="DO45" s="85"/>
      <c r="DP45" s="85"/>
      <c r="DQ45" s="69"/>
    </row>
    <row r="46" spans="1:121" s="2" customFormat="1" ht="12.75">
      <c r="A46" s="69"/>
      <c r="B46" s="69"/>
      <c r="C46" s="69"/>
      <c r="D46" s="69"/>
      <c r="E46" s="69"/>
      <c r="F46" s="69"/>
      <c r="G46" s="69" t="s">
        <v>7</v>
      </c>
      <c r="H46" s="69"/>
      <c r="I46" s="69"/>
      <c r="J46" s="69" t="s">
        <v>7</v>
      </c>
      <c r="K46" s="69" t="s">
        <v>7</v>
      </c>
      <c r="L46" s="69"/>
      <c r="M46" s="69"/>
      <c r="N46" s="74"/>
      <c r="O46" s="74"/>
      <c r="P46" s="74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83"/>
      <c r="CI46" s="69"/>
      <c r="CJ46" s="69"/>
      <c r="CK46" s="69"/>
      <c r="CL46" s="69"/>
      <c r="CM46" s="4"/>
      <c r="CN46" s="4"/>
      <c r="CO46" s="69"/>
      <c r="CP46" s="69"/>
      <c r="CQ46" s="84"/>
      <c r="CR46" s="85"/>
      <c r="CS46" s="85"/>
      <c r="CT46" s="84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69"/>
    </row>
    <row r="47" spans="86:98" s="69" customFormat="1" ht="12.75">
      <c r="CH47" s="83"/>
      <c r="CT47" s="192"/>
    </row>
    <row r="48" spans="86:98" s="69" customFormat="1" ht="12.75">
      <c r="CH48" s="83"/>
      <c r="CT48" s="192"/>
    </row>
    <row r="49" spans="86:98" s="69" customFormat="1" ht="12.75">
      <c r="CH49" s="83"/>
      <c r="CT49" s="192"/>
    </row>
    <row r="50" spans="86:98" s="69" customFormat="1" ht="12.75">
      <c r="CH50" s="83"/>
      <c r="CT50" s="192"/>
    </row>
    <row r="51" spans="86:98" s="69" customFormat="1" ht="12.75">
      <c r="CH51" s="83"/>
      <c r="CT51" s="192"/>
    </row>
    <row r="52" spans="86:98" s="69" customFormat="1" ht="12.75">
      <c r="CH52" s="83"/>
      <c r="CT52" s="192"/>
    </row>
    <row r="53" spans="86:98" s="69" customFormat="1" ht="12.75">
      <c r="CH53" s="83"/>
      <c r="CT53" s="192"/>
    </row>
    <row r="54" spans="86:98" s="69" customFormat="1" ht="12.75">
      <c r="CH54" s="83"/>
      <c r="CT54" s="192"/>
    </row>
    <row r="55" spans="86:98" s="69" customFormat="1" ht="12.75">
      <c r="CH55" s="83"/>
      <c r="CT55" s="192"/>
    </row>
    <row r="56" spans="86:98" s="69" customFormat="1" ht="12.75">
      <c r="CH56" s="83"/>
      <c r="CT56" s="192"/>
    </row>
    <row r="57" spans="86:98" s="69" customFormat="1" ht="12.75">
      <c r="CH57" s="83"/>
      <c r="CT57" s="192"/>
    </row>
    <row r="58" spans="86:98" s="69" customFormat="1" ht="12.75">
      <c r="CH58" s="83"/>
      <c r="CT58" s="192"/>
    </row>
    <row r="59" spans="86:98" s="69" customFormat="1" ht="12.75">
      <c r="CH59" s="83"/>
      <c r="CT59" s="192"/>
    </row>
    <row r="60" spans="86:98" s="69" customFormat="1" ht="12.75">
      <c r="CH60" s="83"/>
      <c r="CT60" s="192"/>
    </row>
    <row r="61" spans="86:98" s="69" customFormat="1" ht="12.75">
      <c r="CH61" s="83"/>
      <c r="CT61" s="192"/>
    </row>
    <row r="62" spans="86:98" s="69" customFormat="1" ht="12.75">
      <c r="CH62" s="83"/>
      <c r="CT62" s="192"/>
    </row>
    <row r="63" spans="86:98" s="69" customFormat="1" ht="12.75">
      <c r="CH63" s="83"/>
      <c r="CT63" s="192"/>
    </row>
  </sheetData>
  <sheetProtection password="E971" sheet="1" objects="1" scenarios="1"/>
  <mergeCells count="1">
    <mergeCell ref="C9:E9"/>
  </mergeCells>
  <conditionalFormatting sqref="B19:B42">
    <cfRule type="cellIs" priority="1" dxfId="0" operator="equal" stopIfTrue="1">
      <formula>"FIM"</formula>
    </cfRule>
  </conditionalFormatting>
  <printOptions/>
  <pageMargins left="0.75" right="0.75" top="1" bottom="1" header="0.492125985" footer="0.492125985"/>
  <pageSetup fitToHeight="1" fitToWidth="1" horizontalDpi="300" verticalDpi="300" orientation="landscape" scale="13" r:id="rId3"/>
  <headerFooter alignWithMargins="0">
    <oddHeader>&amp;C&amp;A</oddHeader>
    <oddFooter>&amp;CPágina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V46"/>
  <sheetViews>
    <sheetView workbookViewId="0" topLeftCell="A1">
      <selection activeCell="H10" sqref="H10"/>
    </sheetView>
  </sheetViews>
  <sheetFormatPr defaultColWidth="9.140625" defaultRowHeight="12.75"/>
  <cols>
    <col min="1" max="1" width="1.57421875" style="0" customWidth="1"/>
    <col min="2" max="2" width="14.57421875" style="0" customWidth="1"/>
    <col min="3" max="3" width="11.421875" style="0" customWidth="1"/>
    <col min="4" max="4" width="2.8515625" style="0" customWidth="1"/>
    <col min="5" max="5" width="11.421875" style="0" customWidth="1"/>
    <col min="6" max="6" width="6.7109375" style="0" customWidth="1"/>
    <col min="7" max="9" width="11.421875" style="0" customWidth="1"/>
    <col min="10" max="10" width="13.140625" style="0" customWidth="1"/>
    <col min="11" max="11" width="6.8515625" style="0" customWidth="1"/>
    <col min="12" max="16384" width="11.421875" style="0" customWidth="1"/>
  </cols>
  <sheetData>
    <row r="1" spans="1:12" ht="12.75">
      <c r="A1" s="7"/>
      <c r="B1" s="14" t="s">
        <v>50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/>
      <c r="B2" s="19"/>
      <c r="C2" s="21" t="s">
        <v>91</v>
      </c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7"/>
      <c r="B3" s="19"/>
      <c r="C3" s="20"/>
      <c r="D3" s="8" t="s">
        <v>51</v>
      </c>
      <c r="E3" s="7"/>
      <c r="F3" s="7"/>
      <c r="G3" s="7"/>
      <c r="H3" s="7"/>
      <c r="I3" s="7"/>
      <c r="J3" s="7"/>
      <c r="K3" s="7"/>
      <c r="L3" s="7"/>
    </row>
    <row r="4" spans="1:12" ht="12.75">
      <c r="A4" s="7"/>
      <c r="B4" s="7"/>
      <c r="C4" s="7"/>
      <c r="D4" s="8"/>
      <c r="E4" s="8" t="s">
        <v>52</v>
      </c>
      <c r="F4" s="7"/>
      <c r="G4" s="7"/>
      <c r="H4" s="7"/>
      <c r="I4" s="7"/>
      <c r="J4" s="7"/>
      <c r="K4" s="7"/>
      <c r="L4" s="7"/>
    </row>
    <row r="5" spans="1:12" ht="12.75">
      <c r="A5" s="7"/>
      <c r="B5" s="7"/>
      <c r="C5" s="7"/>
      <c r="D5" s="8" t="s">
        <v>73</v>
      </c>
      <c r="E5" s="7"/>
      <c r="F5" s="7"/>
      <c r="G5" s="7"/>
      <c r="H5" s="7"/>
      <c r="I5" s="7"/>
      <c r="J5" s="7"/>
      <c r="K5" s="7"/>
      <c r="L5" s="7"/>
    </row>
    <row r="6" spans="1:4" s="26" customFormat="1" ht="12.75">
      <c r="A6" s="7"/>
      <c r="D6" s="188" t="s">
        <v>92</v>
      </c>
    </row>
    <row r="7" spans="1:10" s="26" customFormat="1" ht="12.75">
      <c r="A7" s="7"/>
      <c r="B7" s="205" t="s">
        <v>96</v>
      </c>
      <c r="C7" s="207" t="s">
        <v>97</v>
      </c>
      <c r="D7" s="208"/>
      <c r="E7" s="209"/>
      <c r="F7" s="209"/>
      <c r="G7" s="209"/>
      <c r="H7" s="209"/>
      <c r="I7" s="209"/>
      <c r="J7" s="210"/>
    </row>
    <row r="8" spans="1:10" s="26" customFormat="1" ht="12.75">
      <c r="A8" s="7"/>
      <c r="B8" s="206"/>
      <c r="C8" s="211" t="s">
        <v>99</v>
      </c>
      <c r="D8" s="212"/>
      <c r="E8" s="213"/>
      <c r="F8" s="213"/>
      <c r="G8" s="213"/>
      <c r="H8" s="213"/>
      <c r="I8" s="213"/>
      <c r="J8" s="214"/>
    </row>
    <row r="9" spans="1:10" s="26" customFormat="1" ht="12.75">
      <c r="A9" s="7"/>
      <c r="B9" s="206"/>
      <c r="C9" s="215" t="s">
        <v>98</v>
      </c>
      <c r="D9" s="216"/>
      <c r="E9" s="217"/>
      <c r="F9" s="217"/>
      <c r="G9" s="217"/>
      <c r="H9" s="217"/>
      <c r="I9" s="217"/>
      <c r="J9" s="218"/>
    </row>
    <row r="10" spans="1:4" s="26" customFormat="1" ht="12.75">
      <c r="A10" s="7"/>
      <c r="D10" s="188"/>
    </row>
    <row r="11" spans="1:12" s="24" customFormat="1" ht="12.75">
      <c r="A11" s="25" t="s">
        <v>53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2.75">
      <c r="A12" s="23"/>
      <c r="B12" s="184" t="s">
        <v>54</v>
      </c>
      <c r="C12" s="185"/>
      <c r="D12" s="17"/>
      <c r="E12" s="183" t="s">
        <v>83</v>
      </c>
      <c r="F12" s="183"/>
      <c r="G12" s="8" t="s">
        <v>55</v>
      </c>
      <c r="H12" s="8"/>
      <c r="I12" s="7"/>
      <c r="J12" s="7"/>
      <c r="K12" s="7"/>
      <c r="L12" s="7"/>
    </row>
    <row r="13" spans="1:12" ht="12.75">
      <c r="A13" s="7"/>
      <c r="B13" s="8" t="s">
        <v>56</v>
      </c>
      <c r="C13" s="8"/>
      <c r="D13" s="8"/>
      <c r="E13" s="8"/>
      <c r="F13" s="8"/>
      <c r="G13" s="8"/>
      <c r="H13" s="8"/>
      <c r="I13" s="7"/>
      <c r="J13" s="7"/>
      <c r="K13" s="7"/>
      <c r="L13" s="7"/>
    </row>
    <row r="14" spans="1:12" ht="12.75">
      <c r="A14" s="7"/>
      <c r="B14" s="10" t="s">
        <v>57</v>
      </c>
      <c r="C14" s="11"/>
      <c r="D14" s="12"/>
      <c r="E14" s="12"/>
      <c r="F14" s="12"/>
      <c r="G14" s="12"/>
      <c r="H14" s="12"/>
      <c r="I14" s="12"/>
      <c r="J14" s="13"/>
      <c r="K14" s="13"/>
      <c r="L14" s="13"/>
    </row>
    <row r="15" spans="1:12" ht="12.75">
      <c r="A15" s="7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.75">
      <c r="A16" s="7"/>
      <c r="B16" s="55" t="s">
        <v>89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2.75">
      <c r="A17" s="7"/>
      <c r="B17" s="187" t="s">
        <v>90</v>
      </c>
      <c r="C17" s="9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2.75">
      <c r="A18" s="7"/>
      <c r="B18" s="55" t="s">
        <v>85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2.75">
      <c r="A19" s="7"/>
      <c r="B19" s="55"/>
      <c r="C19" s="9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2.75">
      <c r="A20" s="7"/>
      <c r="B20" s="58"/>
      <c r="C20" s="58"/>
      <c r="D20" s="58"/>
      <c r="E20" s="58"/>
      <c r="F20" s="58"/>
      <c r="G20" s="58"/>
      <c r="H20" s="58"/>
      <c r="I20" s="58"/>
      <c r="J20" s="56"/>
      <c r="K20" s="56"/>
      <c r="L20" s="56"/>
    </row>
    <row r="21" spans="1:12" ht="12.75">
      <c r="A21" s="57" t="s">
        <v>74</v>
      </c>
      <c r="B21" s="55"/>
      <c r="C21" s="61"/>
      <c r="D21" s="61"/>
      <c r="E21" s="56"/>
      <c r="F21" s="56"/>
      <c r="G21" s="56"/>
      <c r="H21" s="56"/>
      <c r="I21" s="56"/>
      <c r="J21" s="56"/>
      <c r="K21" s="56"/>
      <c r="L21" s="56"/>
    </row>
    <row r="22" spans="1:12" ht="12.75">
      <c r="A22" s="7"/>
      <c r="B22" s="55"/>
      <c r="C22" s="60" t="s">
        <v>84</v>
      </c>
      <c r="D22" s="61"/>
      <c r="E22" s="56"/>
      <c r="F22" s="56"/>
      <c r="G22" s="56"/>
      <c r="H22" s="56"/>
      <c r="I22" s="56"/>
      <c r="J22" s="56"/>
      <c r="K22" s="56"/>
      <c r="L22" s="56"/>
    </row>
    <row r="23" spans="1:12" ht="12.75">
      <c r="A23" s="7"/>
      <c r="B23" s="55"/>
      <c r="C23" s="117" t="s">
        <v>79</v>
      </c>
      <c r="D23" s="61"/>
      <c r="E23" s="56"/>
      <c r="F23" s="56"/>
      <c r="G23" s="56"/>
      <c r="H23" s="56"/>
      <c r="I23" s="56"/>
      <c r="J23" s="56"/>
      <c r="K23" s="56"/>
      <c r="L23" s="56"/>
    </row>
    <row r="24" spans="1:12" ht="12.75">
      <c r="A24" s="7"/>
      <c r="B24" s="7"/>
      <c r="C24" s="59" t="s">
        <v>75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59" t="s">
        <v>78</v>
      </c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59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27" t="s">
        <v>58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27"/>
      <c r="B29" s="8" t="s">
        <v>7</v>
      </c>
      <c r="C29" s="8" t="s">
        <v>59</v>
      </c>
      <c r="D29" s="8"/>
      <c r="E29" s="8"/>
      <c r="F29" s="8"/>
      <c r="G29" s="8"/>
      <c r="H29" s="8"/>
      <c r="I29" s="7"/>
      <c r="J29" s="7"/>
      <c r="K29" s="7"/>
      <c r="L29" s="7"/>
    </row>
    <row r="30" spans="1:12" ht="12.75">
      <c r="A30" s="7"/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</row>
    <row r="31" spans="1:12" ht="12.75">
      <c r="A31" s="7"/>
      <c r="B31" s="8"/>
      <c r="C31" s="59" t="s">
        <v>86</v>
      </c>
      <c r="D31" s="8"/>
      <c r="E31" s="8"/>
      <c r="F31" s="8"/>
      <c r="G31" s="8"/>
      <c r="H31" s="8"/>
      <c r="I31" s="7"/>
      <c r="J31" s="7"/>
      <c r="K31" s="7"/>
      <c r="L31" s="7"/>
    </row>
    <row r="32" spans="1:12" ht="12.75">
      <c r="A32" s="7"/>
      <c r="B32" s="8"/>
      <c r="C32" s="59" t="s">
        <v>87</v>
      </c>
      <c r="D32" s="8"/>
      <c r="E32" s="8"/>
      <c r="F32" s="8"/>
      <c r="G32" s="8"/>
      <c r="H32" s="8"/>
      <c r="I32" s="7"/>
      <c r="J32" s="7"/>
      <c r="K32" s="7"/>
      <c r="L32" s="7"/>
    </row>
    <row r="33" spans="1:12" ht="12.75">
      <c r="A33" s="7"/>
      <c r="B33" s="8"/>
      <c r="C33" s="18"/>
      <c r="D33" s="8"/>
      <c r="E33" s="8"/>
      <c r="F33" s="8"/>
      <c r="G33" s="8"/>
      <c r="H33" s="8"/>
      <c r="I33" s="7"/>
      <c r="J33" s="7"/>
      <c r="K33" s="7"/>
      <c r="L33" s="7"/>
    </row>
    <row r="34" spans="1:12" ht="12.75">
      <c r="A34" s="7"/>
      <c r="B34" s="8"/>
      <c r="C34" s="22" t="s">
        <v>60</v>
      </c>
      <c r="D34" s="8"/>
      <c r="E34" s="8"/>
      <c r="F34" s="8"/>
      <c r="G34" s="8"/>
      <c r="H34" s="8"/>
      <c r="I34" s="7"/>
      <c r="J34" s="7"/>
      <c r="K34" s="7"/>
      <c r="L34" s="7"/>
    </row>
    <row r="35" spans="1:12" ht="12.75">
      <c r="A35" s="7"/>
      <c r="B35" s="8"/>
      <c r="C35" s="21" t="s">
        <v>61</v>
      </c>
      <c r="D35" s="8"/>
      <c r="E35" s="8"/>
      <c r="F35" s="8"/>
      <c r="G35" s="8"/>
      <c r="H35" s="8"/>
      <c r="I35" s="7"/>
      <c r="J35" s="7"/>
      <c r="K35" s="7"/>
      <c r="L35" s="7"/>
    </row>
    <row r="36" spans="1:12" ht="12.75">
      <c r="A36" s="7"/>
      <c r="B36" s="8"/>
      <c r="C36" s="21" t="s">
        <v>88</v>
      </c>
      <c r="D36" s="8"/>
      <c r="E36" s="8"/>
      <c r="F36" s="8"/>
      <c r="G36" s="8"/>
      <c r="H36" s="8"/>
      <c r="I36" s="7"/>
      <c r="J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7" t="s">
        <v>62</v>
      </c>
      <c r="B39" s="7"/>
      <c r="C39" s="112" t="s">
        <v>63</v>
      </c>
      <c r="D39" s="59"/>
      <c r="E39" s="59"/>
      <c r="F39" s="59"/>
      <c r="G39" s="59"/>
      <c r="H39" s="59"/>
      <c r="I39" s="59"/>
      <c r="J39" s="59"/>
      <c r="K39" s="59"/>
      <c r="L39" s="7"/>
    </row>
    <row r="40" spans="1:12" ht="12.75">
      <c r="A40" s="27"/>
      <c r="B40" s="7"/>
      <c r="C40" s="59" t="s">
        <v>64</v>
      </c>
      <c r="D40" s="59"/>
      <c r="E40" s="59"/>
      <c r="F40" s="59"/>
      <c r="G40" s="59"/>
      <c r="H40" s="59"/>
      <c r="I40" s="59"/>
      <c r="J40" s="59"/>
      <c r="K40" s="59"/>
      <c r="L40" s="7"/>
    </row>
    <row r="41" spans="1:12" ht="12.75">
      <c r="A41" s="27"/>
      <c r="B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14" t="s">
        <v>65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s="7"/>
      <c r="B43" s="19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7"/>
      <c r="B44" s="53" t="s">
        <v>66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22" ht="12.75">
      <c r="A45" s="7"/>
      <c r="B45" s="54" t="s">
        <v>67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ht="12.75">
      <c r="A46" s="7"/>
    </row>
  </sheetData>
  <sheetProtection password="D5B2" sheet="1" objects="1" scenarios="1"/>
  <printOptions/>
  <pageMargins left="0.75" right="0.75" top="1" bottom="1" header="0.492125985" footer="0.492125985"/>
  <pageSetup horizontalDpi="300" verticalDpi="300" orientation="portrait" scale="80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C11:I14"/>
  <sheetViews>
    <sheetView workbookViewId="0" topLeftCell="A1">
      <selection activeCell="I13" sqref="I13"/>
    </sheetView>
  </sheetViews>
  <sheetFormatPr defaultColWidth="9.140625" defaultRowHeight="12.75"/>
  <sheetData>
    <row r="11" ht="12.75">
      <c r="G11">
        <v>156.2</v>
      </c>
    </row>
    <row r="12" spans="4:9" ht="12.75">
      <c r="D12">
        <v>71.68</v>
      </c>
      <c r="G12">
        <v>104.3</v>
      </c>
      <c r="I12">
        <f>G11-G12-G13</f>
        <v>-19.780000000000015</v>
      </c>
    </row>
    <row r="13" spans="4:7" ht="12.75">
      <c r="D13">
        <v>28.3</v>
      </c>
      <c r="G13">
        <v>71.68</v>
      </c>
    </row>
    <row r="14" spans="3:5" ht="12.75">
      <c r="C14">
        <v>156.2</v>
      </c>
      <c r="D14">
        <f>D12-D13</f>
        <v>43.38000000000001</v>
      </c>
      <c r="E14">
        <f>C14-D14</f>
        <v>112.81999999999998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Escola Superior de Agricultura "Luiz de Queiroz" </Manager>
  <Company>Universidade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Balanço Hídrico Sequencial para EXCEL</dc:title>
  <dc:subject/>
  <dc:creator>ROLIM, G.S.; SENTELHAS, P.C.</dc:creator>
  <cp:keywords/>
  <dc:description/>
  <cp:lastModifiedBy>Paulo</cp:lastModifiedBy>
  <cp:lastPrinted>1999-06-30T17:12:22Z</cp:lastPrinted>
  <dcterms:created xsi:type="dcterms:W3CDTF">1997-11-10T17:04:24Z</dcterms:created>
  <dcterms:modified xsi:type="dcterms:W3CDTF">2006-08-11T20:08:37Z</dcterms:modified>
  <cp:category/>
  <cp:version/>
  <cp:contentType/>
  <cp:contentStatus/>
</cp:coreProperties>
</file>